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13_ncr:1_{7BFDC23C-A79B-48A3-A30C-A03A1CCBD64D}" xr6:coauthVersionLast="47" xr6:coauthVersionMax="47" xr10:uidLastSave="{00000000-0000-0000-0000-000000000000}"/>
  <bookViews>
    <workbookView xWindow="-110" yWindow="-110" windowWidth="19420" windowHeight="10300" firstSheet="9" activeTab="11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 Basal Comparada" sheetId="17" state="hidden" r:id="rId9"/>
    <sheet name="Área - Produt - Servente" sheetId="9" r:id="rId10"/>
    <sheet name="Servente COM Adicional" sheetId="6" r:id="rId11"/>
    <sheet name="Servente SEM Adicional" sheetId="7" r:id="rId12"/>
    <sheet name="Preço Homem-Mês-m2" sheetId="11" r:id="rId13"/>
    <sheet name="Preço Mensal por Área" sheetId="12" r:id="rId14"/>
    <sheet name="Preço Final - Quadro Resumo" sheetId="13" r:id="rId15"/>
    <sheet name="Planilha1" sheetId="16" state="hidden" r:id="rId16"/>
  </sheets>
  <externalReferences>
    <externalReference r:id="rId17"/>
  </externalReference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5" l="1"/>
  <c r="E63" i="5"/>
  <c r="G63" i="5" s="1"/>
  <c r="E62" i="5"/>
  <c r="G62" i="5" s="1"/>
  <c r="G64" i="5"/>
  <c r="E64" i="5"/>
  <c r="G56" i="5"/>
  <c r="G43" i="5"/>
  <c r="G42" i="5"/>
  <c r="G19" i="5"/>
  <c r="G4" i="18" l="1"/>
  <c r="G4" i="5"/>
  <c r="I115" i="7"/>
  <c r="H115" i="7"/>
  <c r="G115" i="7"/>
  <c r="P117" i="6"/>
  <c r="O117" i="6"/>
  <c r="N117" i="6"/>
  <c r="M117" i="6"/>
  <c r="L117" i="6"/>
  <c r="K117" i="6"/>
  <c r="J117" i="6"/>
  <c r="I117" i="6"/>
  <c r="H117" i="6"/>
  <c r="G117" i="6"/>
  <c r="A2" i="4"/>
  <c r="G23" i="4"/>
  <c r="G22" i="4"/>
  <c r="G21" i="4"/>
  <c r="G20" i="4"/>
  <c r="G19" i="4"/>
  <c r="G18" i="4"/>
  <c r="D18" i="4"/>
  <c r="G17" i="4"/>
  <c r="D16" i="4"/>
  <c r="G16" i="4" s="1"/>
  <c r="G25" i="4" s="1"/>
  <c r="G26" i="4" s="1"/>
  <c r="G15" i="4"/>
  <c r="G14" i="4"/>
  <c r="G13" i="4"/>
  <c r="G77" i="5" l="1"/>
  <c r="G24" i="18"/>
  <c r="A2" i="5" l="1"/>
  <c r="A2" i="18" s="1"/>
  <c r="G20" i="18"/>
  <c r="G19" i="18"/>
  <c r="G18" i="18"/>
  <c r="G17" i="18"/>
  <c r="G16" i="18"/>
  <c r="G15" i="18"/>
  <c r="G14" i="18"/>
  <c r="G13" i="18"/>
  <c r="G12" i="18"/>
  <c r="G11" i="18"/>
  <c r="G73" i="5"/>
  <c r="G72" i="5"/>
  <c r="G71" i="5"/>
  <c r="G70" i="5"/>
  <c r="G69" i="5"/>
  <c r="G68" i="5"/>
  <c r="G66" i="5"/>
  <c r="G65" i="5"/>
  <c r="G61" i="5"/>
  <c r="G60" i="5"/>
  <c r="G59" i="5"/>
  <c r="G58" i="5"/>
  <c r="G57" i="5"/>
  <c r="G55" i="5"/>
  <c r="G54" i="5"/>
  <c r="G53" i="5"/>
  <c r="G52" i="5"/>
  <c r="G51" i="5"/>
  <c r="G50" i="5"/>
  <c r="G49" i="5"/>
  <c r="G48" i="5"/>
  <c r="G47" i="5"/>
  <c r="G46" i="5"/>
  <c r="G45" i="5"/>
  <c r="G44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8" i="5"/>
  <c r="G17" i="5"/>
  <c r="G16" i="5"/>
  <c r="G15" i="5"/>
  <c r="G14" i="5"/>
  <c r="G13" i="5"/>
  <c r="G12" i="5"/>
  <c r="G11" i="5"/>
  <c r="G75" i="5" l="1"/>
  <c r="G79" i="5" s="1"/>
  <c r="G22" i="18"/>
  <c r="G26" i="18" s="1"/>
  <c r="I117" i="7" l="1"/>
  <c r="H117" i="7"/>
  <c r="G117" i="7"/>
  <c r="P119" i="6"/>
  <c r="H119" i="6"/>
  <c r="O119" i="6"/>
  <c r="G119" i="6"/>
  <c r="N119" i="6"/>
  <c r="M119" i="6"/>
  <c r="L119" i="6"/>
  <c r="K119" i="6"/>
  <c r="J119" i="6"/>
  <c r="I119" i="6"/>
  <c r="G116" i="7"/>
  <c r="H116" i="7"/>
  <c r="I116" i="7"/>
  <c r="P118" i="6"/>
  <c r="H118" i="6"/>
  <c r="J118" i="6"/>
  <c r="O118" i="6"/>
  <c r="G118" i="6"/>
  <c r="K118" i="6"/>
  <c r="N118" i="6"/>
  <c r="M118" i="6"/>
  <c r="L118" i="6"/>
  <c r="I118" i="6"/>
  <c r="G12" i="7"/>
  <c r="G11" i="7"/>
  <c r="G13" i="7"/>
  <c r="G15" i="7"/>
  <c r="G16" i="7"/>
  <c r="F33" i="1"/>
  <c r="F31" i="1"/>
  <c r="F29" i="1"/>
  <c r="F19" i="1"/>
  <c r="F17" i="1"/>
  <c r="F21" i="1"/>
  <c r="F23" i="1"/>
  <c r="F25" i="1"/>
  <c r="F27" i="1"/>
  <c r="F36" i="14" l="1"/>
  <c r="H34" i="13" l="1"/>
  <c r="H33" i="13"/>
  <c r="H32" i="13"/>
  <c r="H31" i="13"/>
  <c r="H30" i="13"/>
  <c r="L32" i="14"/>
  <c r="K32" i="14"/>
  <c r="J32" i="14"/>
  <c r="I32" i="14"/>
  <c r="H32" i="14"/>
  <c r="J4" i="14" l="1"/>
  <c r="L38" i="14"/>
  <c r="I34" i="13" s="1"/>
  <c r="G25" i="14"/>
  <c r="G24" i="14"/>
  <c r="G23" i="14"/>
  <c r="G22" i="14"/>
  <c r="G21" i="14"/>
  <c r="L15" i="14"/>
  <c r="E34" i="13" s="1"/>
  <c r="K15" i="14"/>
  <c r="K20" i="14" s="1"/>
  <c r="J15" i="14"/>
  <c r="J19" i="14" s="1"/>
  <c r="I15" i="14"/>
  <c r="I19" i="14" s="1"/>
  <c r="H15" i="14"/>
  <c r="H19" i="14" s="1"/>
  <c r="H12" i="13"/>
  <c r="E19" i="7"/>
  <c r="E19" i="6"/>
  <c r="E33" i="13" l="1"/>
  <c r="E31" i="13"/>
  <c r="E30" i="13"/>
  <c r="E32" i="13"/>
  <c r="J20" i="14"/>
  <c r="K18" i="14"/>
  <c r="L20" i="14"/>
  <c r="K19" i="14"/>
  <c r="L19" i="14"/>
  <c r="L18" i="14"/>
  <c r="J18" i="14"/>
  <c r="H18" i="14"/>
  <c r="I18" i="14"/>
  <c r="H20" i="14"/>
  <c r="I38" i="14"/>
  <c r="I31" i="13" s="1"/>
  <c r="I20" i="14"/>
  <c r="J38" i="14"/>
  <c r="I32" i="13" s="1"/>
  <c r="K38" i="14"/>
  <c r="I33" i="13" s="1"/>
  <c r="H38" i="14"/>
  <c r="I30" i="13" s="1"/>
  <c r="D97" i="7"/>
  <c r="D95" i="7"/>
  <c r="D93" i="7"/>
  <c r="D91" i="7"/>
  <c r="D89" i="7"/>
  <c r="D87" i="7"/>
  <c r="D85" i="7"/>
  <c r="D83" i="7"/>
  <c r="D81" i="7"/>
  <c r="D79" i="7"/>
  <c r="D77" i="7"/>
  <c r="D75" i="7"/>
  <c r="K24" i="14" l="1"/>
  <c r="J26" i="14"/>
  <c r="L27" i="14"/>
  <c r="L26" i="14"/>
  <c r="K27" i="14"/>
  <c r="K26" i="14"/>
  <c r="J27" i="14"/>
  <c r="J23" i="14"/>
  <c r="L25" i="14"/>
  <c r="H26" i="14"/>
  <c r="H21" i="14"/>
  <c r="H27" i="14"/>
  <c r="I22" i="14"/>
  <c r="I26" i="14"/>
  <c r="I27" i="14"/>
  <c r="D99" i="6"/>
  <c r="D97" i="6"/>
  <c r="D95" i="6"/>
  <c r="D93" i="6"/>
  <c r="D91" i="6"/>
  <c r="D89" i="6"/>
  <c r="D87" i="6"/>
  <c r="D85" i="6"/>
  <c r="D83" i="6"/>
  <c r="D81" i="6"/>
  <c r="D79" i="6"/>
  <c r="D77" i="6"/>
  <c r="J30" i="14" l="1"/>
  <c r="G32" i="13" s="1"/>
  <c r="K30" i="14"/>
  <c r="G33" i="13" s="1"/>
  <c r="L30" i="14"/>
  <c r="G34" i="13" s="1"/>
  <c r="H30" i="14"/>
  <c r="G30" i="13" s="1"/>
  <c r="I30" i="14"/>
  <c r="G31" i="13" s="1"/>
  <c r="J4" i="2"/>
  <c r="J34" i="14" l="1"/>
  <c r="F32" i="13" s="1"/>
  <c r="J40" i="14"/>
  <c r="J32" i="13" s="1"/>
  <c r="H34" i="14"/>
  <c r="F30" i="13" s="1"/>
  <c r="H40" i="14"/>
  <c r="J30" i="13" s="1"/>
  <c r="I34" i="14"/>
  <c r="F31" i="13" s="1"/>
  <c r="I40" i="14"/>
  <c r="J31" i="13" s="1"/>
  <c r="L34" i="14"/>
  <c r="F34" i="13" s="1"/>
  <c r="L40" i="14"/>
  <c r="J34" i="13" s="1"/>
  <c r="K34" i="14"/>
  <c r="F33" i="13" s="1"/>
  <c r="K40" i="14"/>
  <c r="J33" i="13" s="1"/>
  <c r="E4" i="13"/>
  <c r="I4" i="12"/>
  <c r="J4" i="11"/>
  <c r="H4" i="7"/>
  <c r="N4" i="6"/>
  <c r="J4" i="9"/>
  <c r="L4" i="17"/>
  <c r="D34" i="13" l="1"/>
  <c r="D33" i="13"/>
  <c r="D32" i="13"/>
  <c r="D31" i="13"/>
  <c r="D30" i="13"/>
  <c r="G110" i="6"/>
  <c r="G56" i="6"/>
  <c r="H56" i="6"/>
  <c r="G54" i="6"/>
  <c r="H54" i="6"/>
  <c r="G16" i="6"/>
  <c r="H16" i="6"/>
  <c r="H26" i="6" s="1"/>
  <c r="G15" i="6"/>
  <c r="H15" i="6"/>
  <c r="G13" i="6"/>
  <c r="H13" i="6"/>
  <c r="G12" i="6"/>
  <c r="H12" i="6"/>
  <c r="G11" i="6"/>
  <c r="H11" i="6"/>
  <c r="G25" i="6" l="1"/>
  <c r="G26" i="6"/>
  <c r="F22" i="12"/>
  <c r="AJ20" i="11"/>
  <c r="AJ21" i="11"/>
  <c r="AJ12" i="11"/>
  <c r="AJ14" i="11"/>
  <c r="AJ17" i="11"/>
  <c r="AF12" i="11"/>
  <c r="AF17" i="11"/>
  <c r="AB12" i="11"/>
  <c r="X12" i="11"/>
  <c r="T12" i="11"/>
  <c r="P12" i="11"/>
  <c r="L12" i="11"/>
  <c r="H12" i="11"/>
  <c r="D16" i="11"/>
  <c r="D17" i="11"/>
  <c r="G30" i="6" l="1"/>
  <c r="G55" i="6"/>
  <c r="G59" i="6" s="1"/>
  <c r="G138" i="6" l="1"/>
  <c r="G48" i="6"/>
  <c r="G43" i="6"/>
  <c r="G42" i="6"/>
  <c r="G45" i="6"/>
  <c r="G70" i="6"/>
  <c r="G103" i="6"/>
  <c r="G47" i="6"/>
  <c r="G36" i="6"/>
  <c r="G37" i="6"/>
  <c r="G44" i="6"/>
  <c r="G49" i="6"/>
  <c r="G46" i="6"/>
  <c r="G50" i="6" l="1"/>
  <c r="G65" i="6"/>
  <c r="G67" i="6" s="1"/>
  <c r="G68" i="6"/>
  <c r="G38" i="6"/>
  <c r="I108" i="7"/>
  <c r="H108" i="7"/>
  <c r="G108" i="7"/>
  <c r="E97" i="7"/>
  <c r="F95" i="7"/>
  <c r="E93" i="7"/>
  <c r="E91" i="7"/>
  <c r="F89" i="7"/>
  <c r="F87" i="7"/>
  <c r="F85" i="7"/>
  <c r="E83" i="7"/>
  <c r="F81" i="7"/>
  <c r="E79" i="7"/>
  <c r="E77" i="7"/>
  <c r="F75" i="7"/>
  <c r="I54" i="7"/>
  <c r="H54" i="7"/>
  <c r="G54" i="7"/>
  <c r="I52" i="7"/>
  <c r="H52" i="7"/>
  <c r="G52" i="7"/>
  <c r="F48" i="7"/>
  <c r="E102" i="7" s="1"/>
  <c r="F36" i="7"/>
  <c r="I16" i="7"/>
  <c r="I25" i="7" s="1"/>
  <c r="H16" i="7"/>
  <c r="H25" i="7" s="1"/>
  <c r="G25" i="7"/>
  <c r="I15" i="7"/>
  <c r="H15" i="7"/>
  <c r="I13" i="7"/>
  <c r="H13" i="7"/>
  <c r="I12" i="7"/>
  <c r="H12" i="7"/>
  <c r="I11" i="7"/>
  <c r="H11" i="7"/>
  <c r="P110" i="6"/>
  <c r="O110" i="6"/>
  <c r="N110" i="6"/>
  <c r="M110" i="6"/>
  <c r="L110" i="6"/>
  <c r="G60" i="6" l="1"/>
  <c r="F83" i="7"/>
  <c r="F93" i="7"/>
  <c r="F77" i="7"/>
  <c r="F79" i="7"/>
  <c r="F97" i="7"/>
  <c r="H28" i="7"/>
  <c r="H40" i="7" s="1"/>
  <c r="H53" i="7"/>
  <c r="H57" i="7" s="1"/>
  <c r="F91" i="7"/>
  <c r="G28" i="7"/>
  <c r="G102" i="7" s="1"/>
  <c r="G53" i="7"/>
  <c r="G57" i="7" s="1"/>
  <c r="I28" i="7"/>
  <c r="I53" i="7"/>
  <c r="I57" i="7" s="1"/>
  <c r="G139" i="6" l="1"/>
  <c r="H34" i="7"/>
  <c r="H136" i="7"/>
  <c r="H45" i="7"/>
  <c r="H42" i="7"/>
  <c r="H46" i="7"/>
  <c r="H101" i="7"/>
  <c r="H43" i="7"/>
  <c r="H102" i="7"/>
  <c r="H35" i="7"/>
  <c r="H47" i="7"/>
  <c r="H44" i="7"/>
  <c r="H68" i="7"/>
  <c r="H41" i="7"/>
  <c r="I101" i="7"/>
  <c r="I41" i="7"/>
  <c r="I40" i="7"/>
  <c r="I47" i="7"/>
  <c r="I42" i="7"/>
  <c r="I46" i="7"/>
  <c r="I45" i="7"/>
  <c r="I35" i="7"/>
  <c r="I44" i="7"/>
  <c r="I34" i="7"/>
  <c r="I136" i="7"/>
  <c r="I68" i="7"/>
  <c r="I43" i="7"/>
  <c r="I102" i="7"/>
  <c r="G101" i="7"/>
  <c r="G41" i="7"/>
  <c r="G40" i="7"/>
  <c r="G47" i="7"/>
  <c r="G46" i="7"/>
  <c r="G45" i="7"/>
  <c r="G35" i="7"/>
  <c r="G42" i="7"/>
  <c r="G44" i="7"/>
  <c r="G34" i="7"/>
  <c r="G136" i="7"/>
  <c r="G68" i="7"/>
  <c r="G43" i="7"/>
  <c r="G66" i="7" l="1"/>
  <c r="G67" i="7" s="1"/>
  <c r="H48" i="7"/>
  <c r="H66" i="7"/>
  <c r="H67" i="7" s="1"/>
  <c r="I63" i="7"/>
  <c r="I65" i="7" s="1"/>
  <c r="H63" i="7"/>
  <c r="H65" i="7" s="1"/>
  <c r="H69" i="7" s="1"/>
  <c r="H138" i="7" s="1"/>
  <c r="H36" i="7"/>
  <c r="H58" i="7" s="1"/>
  <c r="G63" i="7"/>
  <c r="G65" i="7" s="1"/>
  <c r="G48" i="7"/>
  <c r="G36" i="7"/>
  <c r="I36" i="7"/>
  <c r="I48" i="7"/>
  <c r="I66" i="7"/>
  <c r="I67" i="7" s="1"/>
  <c r="P56" i="6"/>
  <c r="O56" i="6"/>
  <c r="N56" i="6"/>
  <c r="M56" i="6"/>
  <c r="L56" i="6"/>
  <c r="K56" i="6"/>
  <c r="J56" i="6"/>
  <c r="I56" i="6"/>
  <c r="H137" i="7" l="1"/>
  <c r="H88" i="7"/>
  <c r="H86" i="7"/>
  <c r="H82" i="7"/>
  <c r="H74" i="7"/>
  <c r="H84" i="7"/>
  <c r="H96" i="7"/>
  <c r="H80" i="7"/>
  <c r="H90" i="7"/>
  <c r="H94" i="7"/>
  <c r="H78" i="7"/>
  <c r="H92" i="7"/>
  <c r="H76" i="7"/>
  <c r="G69" i="7"/>
  <c r="G138" i="7" s="1"/>
  <c r="G58" i="7"/>
  <c r="I69" i="7"/>
  <c r="I138" i="7" s="1"/>
  <c r="I58" i="7"/>
  <c r="P54" i="6"/>
  <c r="O54" i="6"/>
  <c r="N54" i="6"/>
  <c r="M54" i="6"/>
  <c r="L54" i="6"/>
  <c r="K54" i="6"/>
  <c r="J54" i="6"/>
  <c r="I54" i="6"/>
  <c r="G94" i="7" l="1"/>
  <c r="G78" i="7"/>
  <c r="G76" i="7"/>
  <c r="G88" i="7"/>
  <c r="G86" i="7"/>
  <c r="G74" i="7"/>
  <c r="G80" i="7"/>
  <c r="G84" i="7"/>
  <c r="G90" i="7"/>
  <c r="G82" i="7"/>
  <c r="G96" i="7"/>
  <c r="G92" i="7"/>
  <c r="I82" i="7"/>
  <c r="I96" i="7"/>
  <c r="I94" i="7"/>
  <c r="I92" i="7"/>
  <c r="I76" i="7"/>
  <c r="I90" i="7"/>
  <c r="I80" i="7"/>
  <c r="I74" i="7"/>
  <c r="I88" i="7"/>
  <c r="I84" i="7"/>
  <c r="I86" i="7"/>
  <c r="I78" i="7"/>
  <c r="G137" i="7"/>
  <c r="I137" i="7"/>
  <c r="H99" i="7"/>
  <c r="G99" i="7" l="1"/>
  <c r="G100" i="7" s="1"/>
  <c r="G103" i="7" s="1"/>
  <c r="G110" i="7" s="1"/>
  <c r="I99" i="7"/>
  <c r="H100" i="7"/>
  <c r="H103" i="7" s="1"/>
  <c r="H110" i="7" s="1"/>
  <c r="K60" i="1"/>
  <c r="K58" i="1"/>
  <c r="K56" i="1"/>
  <c r="K54" i="1"/>
  <c r="K52" i="1"/>
  <c r="K50" i="1"/>
  <c r="K48" i="1"/>
  <c r="K46" i="1"/>
  <c r="G139" i="7" l="1"/>
  <c r="H139" i="7"/>
  <c r="I100" i="7"/>
  <c r="I103" i="7" s="1"/>
  <c r="I110" i="7" s="1"/>
  <c r="K44" i="1"/>
  <c r="I139" i="7" l="1"/>
  <c r="P16" i="6"/>
  <c r="O16" i="6"/>
  <c r="N16" i="6"/>
  <c r="M16" i="6"/>
  <c r="L16" i="6"/>
  <c r="K16" i="6"/>
  <c r="P15" i="6"/>
  <c r="O15" i="6"/>
  <c r="N15" i="6"/>
  <c r="M15" i="6"/>
  <c r="L15" i="6"/>
  <c r="K15" i="6"/>
  <c r="P13" i="6"/>
  <c r="O13" i="6"/>
  <c r="N13" i="6"/>
  <c r="M13" i="6"/>
  <c r="L13" i="6"/>
  <c r="K13" i="6"/>
  <c r="P12" i="6"/>
  <c r="O12" i="6"/>
  <c r="N12" i="6"/>
  <c r="M12" i="6"/>
  <c r="L12" i="6"/>
  <c r="K12" i="6"/>
  <c r="P11" i="6"/>
  <c r="O11" i="6"/>
  <c r="N11" i="6"/>
  <c r="M11" i="6"/>
  <c r="L11" i="6"/>
  <c r="K11" i="6"/>
  <c r="J16" i="6"/>
  <c r="J15" i="6"/>
  <c r="J12" i="6"/>
  <c r="J11" i="6"/>
  <c r="I16" i="6"/>
  <c r="I15" i="6"/>
  <c r="I12" i="6"/>
  <c r="I11" i="6"/>
  <c r="J13" i="6"/>
  <c r="I13" i="6"/>
  <c r="H25" i="6"/>
  <c r="H55" i="6" s="1"/>
  <c r="M26" i="6" l="1"/>
  <c r="M25" i="6"/>
  <c r="P25" i="6"/>
  <c r="P55" i="6" s="1"/>
  <c r="P59" i="6" s="1"/>
  <c r="P26" i="6"/>
  <c r="O25" i="6"/>
  <c r="O55" i="6" s="1"/>
  <c r="O59" i="6" s="1"/>
  <c r="O26" i="6"/>
  <c r="O30" i="6" s="1"/>
  <c r="N25" i="6"/>
  <c r="N55" i="6" s="1"/>
  <c r="N59" i="6" s="1"/>
  <c r="N26" i="6"/>
  <c r="K25" i="6"/>
  <c r="K26" i="6"/>
  <c r="I25" i="6"/>
  <c r="I55" i="6" s="1"/>
  <c r="I26" i="6"/>
  <c r="J25" i="6"/>
  <c r="J55" i="6" s="1"/>
  <c r="J26" i="6"/>
  <c r="L25" i="6"/>
  <c r="L55" i="6" s="1"/>
  <c r="L59" i="6" s="1"/>
  <c r="L26" i="6"/>
  <c r="L30" i="6" s="1"/>
  <c r="H27" i="6"/>
  <c r="K55" i="6"/>
  <c r="M55" i="6"/>
  <c r="M59" i="6" s="1"/>
  <c r="M30" i="6"/>
  <c r="K110" i="6"/>
  <c r="J110" i="6"/>
  <c r="I110" i="6"/>
  <c r="H110" i="6"/>
  <c r="E99" i="6"/>
  <c r="F97" i="6"/>
  <c r="E95" i="6"/>
  <c r="E93" i="6"/>
  <c r="F91" i="6"/>
  <c r="F89" i="6"/>
  <c r="F87" i="6"/>
  <c r="E85" i="6"/>
  <c r="F83" i="6"/>
  <c r="E81" i="6"/>
  <c r="E79" i="6"/>
  <c r="F77" i="6"/>
  <c r="H59" i="6"/>
  <c r="F50" i="6"/>
  <c r="F38" i="6"/>
  <c r="J30" i="6" l="1"/>
  <c r="J43" i="6" s="1"/>
  <c r="N30" i="6"/>
  <c r="N138" i="6" s="1"/>
  <c r="I30" i="6"/>
  <c r="I46" i="6" s="1"/>
  <c r="P30" i="6"/>
  <c r="P70" i="6" s="1"/>
  <c r="K30" i="6"/>
  <c r="G69" i="6"/>
  <c r="G71" i="6" s="1"/>
  <c r="H30" i="6"/>
  <c r="O138" i="6"/>
  <c r="M138" i="6"/>
  <c r="F99" i="6"/>
  <c r="L138" i="6"/>
  <c r="F81" i="6"/>
  <c r="P138" i="6"/>
  <c r="P103" i="6"/>
  <c r="N103" i="6"/>
  <c r="N70" i="6"/>
  <c r="O103" i="6"/>
  <c r="O70" i="6"/>
  <c r="M103" i="6"/>
  <c r="M70" i="6"/>
  <c r="F79" i="6"/>
  <c r="L103" i="6"/>
  <c r="L70" i="6"/>
  <c r="L44" i="6"/>
  <c r="L36" i="6"/>
  <c r="L43" i="6"/>
  <c r="L46" i="6"/>
  <c r="L49" i="6"/>
  <c r="L37" i="6"/>
  <c r="L48" i="6"/>
  <c r="L47" i="6"/>
  <c r="L42" i="6"/>
  <c r="L45" i="6"/>
  <c r="O48" i="6"/>
  <c r="O45" i="6"/>
  <c r="O37" i="6"/>
  <c r="O36" i="6"/>
  <c r="O44" i="6"/>
  <c r="O43" i="6"/>
  <c r="O42" i="6"/>
  <c r="O49" i="6"/>
  <c r="O47" i="6"/>
  <c r="O46" i="6"/>
  <c r="P37" i="6"/>
  <c r="P48" i="6"/>
  <c r="P47" i="6"/>
  <c r="P45" i="6"/>
  <c r="P42" i="6"/>
  <c r="P49" i="6"/>
  <c r="P43" i="6"/>
  <c r="P36" i="6"/>
  <c r="M36" i="6"/>
  <c r="M43" i="6"/>
  <c r="M49" i="6"/>
  <c r="M37" i="6"/>
  <c r="M46" i="6"/>
  <c r="M44" i="6"/>
  <c r="M42" i="6"/>
  <c r="M48" i="6"/>
  <c r="M47" i="6"/>
  <c r="M45" i="6"/>
  <c r="N44" i="6"/>
  <c r="N46" i="6"/>
  <c r="N36" i="6"/>
  <c r="N43" i="6"/>
  <c r="N37" i="6"/>
  <c r="N45" i="6"/>
  <c r="N49" i="6"/>
  <c r="N48" i="6"/>
  <c r="N42" i="6"/>
  <c r="N47" i="6"/>
  <c r="F93" i="6"/>
  <c r="J59" i="6"/>
  <c r="F85" i="6"/>
  <c r="F95" i="6"/>
  <c r="K59" i="6"/>
  <c r="I59" i="6"/>
  <c r="J45" i="6"/>
  <c r="J36" i="6"/>
  <c r="J44" i="6"/>
  <c r="I47" i="6"/>
  <c r="H70" i="6"/>
  <c r="H43" i="6"/>
  <c r="H45" i="6"/>
  <c r="H49" i="6"/>
  <c r="E104" i="6"/>
  <c r="G104" i="6" s="1"/>
  <c r="H138" i="6"/>
  <c r="H37" i="6"/>
  <c r="H42" i="6"/>
  <c r="H44" i="6"/>
  <c r="H46" i="6"/>
  <c r="J46" i="6" l="1"/>
  <c r="J47" i="6"/>
  <c r="J138" i="6"/>
  <c r="J48" i="6"/>
  <c r="J49" i="6"/>
  <c r="J103" i="6"/>
  <c r="J37" i="6"/>
  <c r="J70" i="6"/>
  <c r="J42" i="6"/>
  <c r="J50" i="6" s="1"/>
  <c r="H47" i="6"/>
  <c r="G86" i="6"/>
  <c r="K138" i="6"/>
  <c r="P46" i="6"/>
  <c r="I45" i="6"/>
  <c r="K46" i="6"/>
  <c r="K103" i="6"/>
  <c r="K68" i="6" s="1"/>
  <c r="K69" i="6" s="1"/>
  <c r="K70" i="6"/>
  <c r="K47" i="6"/>
  <c r="K49" i="6"/>
  <c r="K45" i="6"/>
  <c r="K37" i="6"/>
  <c r="K36" i="6"/>
  <c r="P44" i="6"/>
  <c r="K44" i="6"/>
  <c r="K48" i="6"/>
  <c r="K50" i="6" s="1"/>
  <c r="K42" i="6"/>
  <c r="K43" i="6"/>
  <c r="I44" i="6"/>
  <c r="I49" i="6"/>
  <c r="I48" i="6"/>
  <c r="I138" i="6"/>
  <c r="I42" i="6"/>
  <c r="I103" i="6"/>
  <c r="I43" i="6"/>
  <c r="I36" i="6"/>
  <c r="I37" i="6"/>
  <c r="I70" i="6"/>
  <c r="H36" i="6"/>
  <c r="H38" i="6" s="1"/>
  <c r="G92" i="6"/>
  <c r="G88" i="6"/>
  <c r="G96" i="6"/>
  <c r="G90" i="6"/>
  <c r="G78" i="6"/>
  <c r="G84" i="6"/>
  <c r="G82" i="6"/>
  <c r="G98" i="6"/>
  <c r="G76" i="6"/>
  <c r="G94" i="6"/>
  <c r="G80" i="6"/>
  <c r="M68" i="6"/>
  <c r="M69" i="6" s="1"/>
  <c r="H103" i="6"/>
  <c r="H48" i="6"/>
  <c r="H50" i="6" s="1"/>
  <c r="N68" i="6"/>
  <c r="N69" i="6" s="1"/>
  <c r="L65" i="6"/>
  <c r="L67" i="6" s="1"/>
  <c r="G140" i="6"/>
  <c r="P38" i="6"/>
  <c r="O38" i="6"/>
  <c r="J65" i="6"/>
  <c r="N65" i="6"/>
  <c r="N67" i="6" s="1"/>
  <c r="M65" i="6"/>
  <c r="M67" i="6" s="1"/>
  <c r="O65" i="6"/>
  <c r="O67" i="6" s="1"/>
  <c r="P65" i="6"/>
  <c r="P104" i="6"/>
  <c r="M104" i="6"/>
  <c r="L104" i="6"/>
  <c r="O104" i="6"/>
  <c r="N104" i="6"/>
  <c r="L38" i="6"/>
  <c r="O68" i="6"/>
  <c r="O69" i="6" s="1"/>
  <c r="P68" i="6"/>
  <c r="P69" i="6" s="1"/>
  <c r="L68" i="6"/>
  <c r="L69" i="6" s="1"/>
  <c r="M38" i="6"/>
  <c r="O50" i="6"/>
  <c r="O60" i="6" s="1"/>
  <c r="L50" i="6"/>
  <c r="M50" i="6"/>
  <c r="P50" i="6"/>
  <c r="N50" i="6"/>
  <c r="N38" i="6"/>
  <c r="J68" i="6"/>
  <c r="J69" i="6" s="1"/>
  <c r="J38" i="6"/>
  <c r="K104" i="6"/>
  <c r="J104" i="6"/>
  <c r="I104" i="6"/>
  <c r="H104" i="6"/>
  <c r="K38" i="6" l="1"/>
  <c r="K60" i="6" s="1"/>
  <c r="K65" i="6"/>
  <c r="I50" i="6"/>
  <c r="H65" i="6"/>
  <c r="H67" i="6" s="1"/>
  <c r="I65" i="6"/>
  <c r="I67" i="6" s="1"/>
  <c r="I38" i="6"/>
  <c r="I68" i="6"/>
  <c r="I69" i="6" s="1"/>
  <c r="H68" i="6"/>
  <c r="H69" i="6" s="1"/>
  <c r="M71" i="6"/>
  <c r="M140" i="6" s="1"/>
  <c r="N71" i="6"/>
  <c r="N140" i="6" s="1"/>
  <c r="L71" i="6"/>
  <c r="L140" i="6" s="1"/>
  <c r="P60" i="6"/>
  <c r="G101" i="6"/>
  <c r="G102" i="6" s="1"/>
  <c r="G105" i="6" s="1"/>
  <c r="G112" i="6" s="1"/>
  <c r="N60" i="6"/>
  <c r="M60" i="6"/>
  <c r="L60" i="6"/>
  <c r="O139" i="6"/>
  <c r="P67" i="6"/>
  <c r="P71" i="6" s="1"/>
  <c r="O71" i="6"/>
  <c r="O98" i="6" s="1"/>
  <c r="J60" i="6"/>
  <c r="H60" i="6"/>
  <c r="J67" i="6"/>
  <c r="J71" i="6" s="1"/>
  <c r="J140" i="6" s="1"/>
  <c r="K67" i="6"/>
  <c r="K71" i="6" s="1"/>
  <c r="K140" i="6" s="1"/>
  <c r="I60" i="6" l="1"/>
  <c r="I139" i="6" s="1"/>
  <c r="G141" i="6"/>
  <c r="I71" i="6"/>
  <c r="I140" i="6" s="1"/>
  <c r="H71" i="6"/>
  <c r="H140" i="6" s="1"/>
  <c r="O78" i="6"/>
  <c r="O92" i="6"/>
  <c r="O94" i="6"/>
  <c r="O84" i="6"/>
  <c r="O80" i="6"/>
  <c r="O90" i="6"/>
  <c r="O96" i="6"/>
  <c r="O86" i="6"/>
  <c r="O76" i="6"/>
  <c r="O82" i="6"/>
  <c r="I92" i="6"/>
  <c r="O88" i="6"/>
  <c r="K92" i="6"/>
  <c r="K76" i="6"/>
  <c r="K86" i="6"/>
  <c r="K84" i="6"/>
  <c r="K94" i="6"/>
  <c r="K88" i="6"/>
  <c r="K98" i="6"/>
  <c r="K82" i="6"/>
  <c r="K90" i="6"/>
  <c r="K96" i="6"/>
  <c r="K80" i="6"/>
  <c r="K78" i="6"/>
  <c r="J84" i="6"/>
  <c r="J94" i="6"/>
  <c r="J78" i="6"/>
  <c r="J82" i="6"/>
  <c r="J92" i="6"/>
  <c r="J76" i="6"/>
  <c r="J86" i="6"/>
  <c r="J96" i="6"/>
  <c r="J90" i="6"/>
  <c r="J80" i="6"/>
  <c r="J88" i="6"/>
  <c r="J98" i="6"/>
  <c r="P139" i="6"/>
  <c r="P84" i="6"/>
  <c r="P98" i="6"/>
  <c r="P94" i="6"/>
  <c r="P78" i="6"/>
  <c r="P76" i="6"/>
  <c r="P82" i="6"/>
  <c r="P92" i="6"/>
  <c r="P86" i="6"/>
  <c r="P90" i="6"/>
  <c r="P80" i="6"/>
  <c r="P88" i="6"/>
  <c r="P96" i="6"/>
  <c r="M98" i="6"/>
  <c r="M82" i="6"/>
  <c r="M94" i="6"/>
  <c r="M92" i="6"/>
  <c r="M80" i="6"/>
  <c r="M90" i="6"/>
  <c r="M84" i="6"/>
  <c r="M96" i="6"/>
  <c r="M88" i="6"/>
  <c r="M86" i="6"/>
  <c r="M76" i="6"/>
  <c r="M78" i="6"/>
  <c r="N96" i="6"/>
  <c r="N80" i="6"/>
  <c r="N78" i="6"/>
  <c r="N90" i="6"/>
  <c r="N94" i="6"/>
  <c r="N88" i="6"/>
  <c r="N82" i="6"/>
  <c r="N86" i="6"/>
  <c r="N76" i="6"/>
  <c r="N84" i="6"/>
  <c r="N98" i="6"/>
  <c r="N92" i="6"/>
  <c r="L86" i="6"/>
  <c r="L96" i="6"/>
  <c r="L80" i="6"/>
  <c r="L84" i="6"/>
  <c r="L94" i="6"/>
  <c r="L78" i="6"/>
  <c r="L88" i="6"/>
  <c r="L92" i="6"/>
  <c r="L90" i="6"/>
  <c r="L76" i="6"/>
  <c r="L98" i="6"/>
  <c r="L82" i="6"/>
  <c r="P140" i="6"/>
  <c r="N139" i="6"/>
  <c r="O140" i="6"/>
  <c r="J139" i="6"/>
  <c r="M139" i="6"/>
  <c r="K139" i="6"/>
  <c r="L139" i="6"/>
  <c r="H139" i="6"/>
  <c r="I94" i="6" l="1"/>
  <c r="I82" i="6"/>
  <c r="I86" i="6"/>
  <c r="I96" i="6"/>
  <c r="I76" i="6"/>
  <c r="I78" i="6"/>
  <c r="I90" i="6"/>
  <c r="H94" i="6"/>
  <c r="H88" i="6"/>
  <c r="H80" i="6"/>
  <c r="H82" i="6"/>
  <c r="H96" i="6"/>
  <c r="H76" i="6"/>
  <c r="I88" i="6"/>
  <c r="I98" i="6"/>
  <c r="H90" i="6"/>
  <c r="H78" i="6"/>
  <c r="H92" i="6"/>
  <c r="I80" i="6"/>
  <c r="I84" i="6"/>
  <c r="H84" i="6"/>
  <c r="H86" i="6"/>
  <c r="H98" i="6"/>
  <c r="L101" i="6"/>
  <c r="L102" i="6" s="1"/>
  <c r="L105" i="6" s="1"/>
  <c r="L112" i="6" s="1"/>
  <c r="M101" i="6"/>
  <c r="M102" i="6" s="1"/>
  <c r="M105" i="6" s="1"/>
  <c r="M112" i="6" s="1"/>
  <c r="N101" i="6"/>
  <c r="N102" i="6" s="1"/>
  <c r="N105" i="6" s="1"/>
  <c r="N112" i="6" s="1"/>
  <c r="P101" i="6"/>
  <c r="P102" i="6" s="1"/>
  <c r="P105" i="6" s="1"/>
  <c r="P112" i="6" s="1"/>
  <c r="O101" i="6"/>
  <c r="K101" i="6"/>
  <c r="J101" i="6"/>
  <c r="I101" i="6" l="1"/>
  <c r="H101" i="6"/>
  <c r="H102" i="6" s="1"/>
  <c r="H105" i="6" s="1"/>
  <c r="H112" i="6" s="1"/>
  <c r="L141" i="6"/>
  <c r="M141" i="6"/>
  <c r="N141" i="6"/>
  <c r="P141" i="6"/>
  <c r="O102" i="6"/>
  <c r="O105" i="6" s="1"/>
  <c r="O112" i="6" s="1"/>
  <c r="I102" i="6"/>
  <c r="I105" i="6" s="1"/>
  <c r="I112" i="6" s="1"/>
  <c r="J102" i="6"/>
  <c r="J105" i="6" s="1"/>
  <c r="J112" i="6" s="1"/>
  <c r="K102" i="6"/>
  <c r="K105" i="6" s="1"/>
  <c r="K112" i="6" s="1"/>
  <c r="I141" i="6" l="1"/>
  <c r="O141" i="6"/>
  <c r="K141" i="6"/>
  <c r="J141" i="6"/>
  <c r="H141" i="6"/>
  <c r="J10" i="15" l="1"/>
  <c r="J9" i="15"/>
  <c r="J8" i="15"/>
  <c r="J7" i="15"/>
  <c r="J6" i="15"/>
  <c r="J5" i="15"/>
  <c r="J4" i="15"/>
  <c r="J35" i="13" l="1"/>
  <c r="A2" i="3"/>
  <c r="A2" i="13" l="1"/>
  <c r="B8" i="13" s="1"/>
  <c r="A2" i="7"/>
  <c r="A9" i="7"/>
  <c r="A9" i="6"/>
  <c r="A2" i="6"/>
  <c r="A2" i="1"/>
  <c r="A2" i="14" s="1"/>
  <c r="D12" i="17"/>
  <c r="D13" i="17"/>
  <c r="D14" i="17"/>
  <c r="D15" i="17"/>
  <c r="D16" i="17"/>
  <c r="D17" i="17"/>
  <c r="D18" i="17"/>
  <c r="D20" i="17"/>
  <c r="D21" i="17"/>
  <c r="D22" i="17"/>
  <c r="D23" i="17"/>
  <c r="D25" i="17"/>
  <c r="D26" i="17"/>
  <c r="AN22" i="17" l="1"/>
  <c r="AN21" i="17"/>
  <c r="AN14" i="17"/>
  <c r="AN12" i="17"/>
  <c r="AM22" i="17"/>
  <c r="AM21" i="17"/>
  <c r="AM14" i="17"/>
  <c r="AM12" i="17"/>
  <c r="AJ22" i="17"/>
  <c r="AJ21" i="17"/>
  <c r="AJ14" i="17"/>
  <c r="AJ12" i="17"/>
  <c r="AI22" i="17"/>
  <c r="AI21" i="17"/>
  <c r="AI14" i="17"/>
  <c r="AI12" i="17"/>
  <c r="AF22" i="17"/>
  <c r="AF21" i="17"/>
  <c r="AF14" i="17"/>
  <c r="AF12" i="17"/>
  <c r="AE22" i="17"/>
  <c r="AE21" i="17"/>
  <c r="AE14" i="17"/>
  <c r="AE12" i="17"/>
  <c r="AA22" i="17"/>
  <c r="AA21" i="17"/>
  <c r="AB22" i="17"/>
  <c r="AB21" i="17"/>
  <c r="AB14" i="17"/>
  <c r="AB12" i="17"/>
  <c r="AA14" i="17"/>
  <c r="AA12" i="17"/>
  <c r="X22" i="17"/>
  <c r="X21" i="17"/>
  <c r="X14" i="17"/>
  <c r="X12" i="17"/>
  <c r="W22" i="17"/>
  <c r="W21" i="17"/>
  <c r="W14" i="17"/>
  <c r="W12" i="17"/>
  <c r="S22" i="17"/>
  <c r="S21" i="17"/>
  <c r="T22" i="17"/>
  <c r="T21" i="17"/>
  <c r="T14" i="17"/>
  <c r="T12" i="17"/>
  <c r="S14" i="17"/>
  <c r="S12" i="17"/>
  <c r="P14" i="17"/>
  <c r="P12" i="17"/>
  <c r="O14" i="17"/>
  <c r="O12" i="17"/>
  <c r="P22" i="17"/>
  <c r="P21" i="17"/>
  <c r="O22" i="17"/>
  <c r="O21" i="17"/>
  <c r="L25" i="17"/>
  <c r="L16" i="17"/>
  <c r="L15" i="17"/>
  <c r="L22" i="17"/>
  <c r="L13" i="17"/>
  <c r="L21" i="17"/>
  <c r="K21" i="17"/>
  <c r="L12" i="17"/>
  <c r="H22" i="17"/>
  <c r="H21" i="17"/>
  <c r="H14" i="17"/>
  <c r="H12" i="17"/>
  <c r="G14" i="17"/>
  <c r="G22" i="17"/>
  <c r="G21" i="17"/>
  <c r="K14" i="17"/>
  <c r="G12" i="17"/>
  <c r="AN26" i="17"/>
  <c r="AN25" i="17"/>
  <c r="AN23" i="17"/>
  <c r="AN20" i="17"/>
  <c r="AN18" i="17"/>
  <c r="AN27" i="17" s="1"/>
  <c r="AN17" i="17"/>
  <c r="AN16" i="17"/>
  <c r="AN15" i="17"/>
  <c r="AN13" i="17"/>
  <c r="AJ26" i="17"/>
  <c r="AJ25" i="17"/>
  <c r="AJ23" i="17"/>
  <c r="AJ20" i="17"/>
  <c r="AJ18" i="17"/>
  <c r="AJ17" i="17"/>
  <c r="AJ16" i="17"/>
  <c r="AJ15" i="17"/>
  <c r="AJ13" i="17"/>
  <c r="AF26" i="17"/>
  <c r="AF25" i="17"/>
  <c r="AF23" i="17"/>
  <c r="AF20" i="17"/>
  <c r="AF18" i="17"/>
  <c r="AF17" i="17"/>
  <c r="AF16" i="17"/>
  <c r="AF15" i="17"/>
  <c r="AF13" i="17"/>
  <c r="AB26" i="17"/>
  <c r="AB25" i="17"/>
  <c r="AB23" i="17"/>
  <c r="AB20" i="17"/>
  <c r="AB18" i="17"/>
  <c r="AB17" i="17"/>
  <c r="AB16" i="17"/>
  <c r="AB15" i="17"/>
  <c r="AB13" i="17"/>
  <c r="X26" i="17"/>
  <c r="X25" i="17"/>
  <c r="X23" i="17"/>
  <c r="X20" i="17"/>
  <c r="X18" i="17"/>
  <c r="X17" i="17"/>
  <c r="X16" i="17"/>
  <c r="X15" i="17"/>
  <c r="X13" i="17"/>
  <c r="T26" i="17"/>
  <c r="P26" i="17"/>
  <c r="L26" i="17"/>
  <c r="H26" i="17"/>
  <c r="K26" i="17"/>
  <c r="T25" i="17"/>
  <c r="P25" i="17"/>
  <c r="H25" i="17"/>
  <c r="H27" i="17" s="1"/>
  <c r="G25" i="17"/>
  <c r="T23" i="17"/>
  <c r="P23" i="17"/>
  <c r="L23" i="17"/>
  <c r="H23" i="17"/>
  <c r="O23" i="17"/>
  <c r="T20" i="17"/>
  <c r="P20" i="17"/>
  <c r="L20" i="17"/>
  <c r="H20" i="17"/>
  <c r="O20" i="17"/>
  <c r="T18" i="17"/>
  <c r="P18" i="17"/>
  <c r="L18" i="17"/>
  <c r="H18" i="17"/>
  <c r="S18" i="17"/>
  <c r="T17" i="17"/>
  <c r="P17" i="17"/>
  <c r="L17" i="17"/>
  <c r="H17" i="17"/>
  <c r="S17" i="17"/>
  <c r="T16" i="17"/>
  <c r="P16" i="17"/>
  <c r="O16" i="17"/>
  <c r="H16" i="17"/>
  <c r="S16" i="17"/>
  <c r="T15" i="17"/>
  <c r="P15" i="17"/>
  <c r="O15" i="17"/>
  <c r="H15" i="17"/>
  <c r="G15" i="17"/>
  <c r="T13" i="17"/>
  <c r="P13" i="17"/>
  <c r="H13" i="17"/>
  <c r="AK25" i="9"/>
  <c r="AK24" i="9"/>
  <c r="AG25" i="9"/>
  <c r="AF25" i="11" s="1"/>
  <c r="AG24" i="9"/>
  <c r="AF24" i="11" s="1"/>
  <c r="AC25" i="9"/>
  <c r="AC24" i="9"/>
  <c r="AB24" i="11" s="1"/>
  <c r="Y25" i="9"/>
  <c r="Y24" i="9"/>
  <c r="U25" i="9"/>
  <c r="T25" i="11" s="1"/>
  <c r="U24" i="9"/>
  <c r="T24" i="11" s="1"/>
  <c r="Q25" i="9"/>
  <c r="Q24" i="9"/>
  <c r="M25" i="9"/>
  <c r="M24" i="9"/>
  <c r="L24" i="11" s="1"/>
  <c r="I25" i="9"/>
  <c r="I24" i="9"/>
  <c r="E25" i="9"/>
  <c r="E24" i="9"/>
  <c r="AK22" i="9"/>
  <c r="AJ22" i="11" s="1"/>
  <c r="AK19" i="9"/>
  <c r="AG22" i="9"/>
  <c r="AF22" i="11" s="1"/>
  <c r="AG21" i="9"/>
  <c r="AF21" i="11" s="1"/>
  <c r="AG20" i="9"/>
  <c r="AG19" i="9"/>
  <c r="AC22" i="9"/>
  <c r="AC21" i="9"/>
  <c r="AC20" i="9"/>
  <c r="AC19" i="9"/>
  <c r="Y22" i="9"/>
  <c r="X22" i="11" s="1"/>
  <c r="Y21" i="9"/>
  <c r="X21" i="11" s="1"/>
  <c r="Y20" i="9"/>
  <c r="Y19" i="9"/>
  <c r="U22" i="9"/>
  <c r="T22" i="11" s="1"/>
  <c r="U21" i="9"/>
  <c r="T21" i="11" s="1"/>
  <c r="U20" i="9"/>
  <c r="U19" i="9"/>
  <c r="Q22" i="9"/>
  <c r="Q21" i="9"/>
  <c r="Q20" i="9"/>
  <c r="Q19" i="9"/>
  <c r="M22" i="9"/>
  <c r="L22" i="11" s="1"/>
  <c r="M21" i="9"/>
  <c r="L21" i="11" s="1"/>
  <c r="M20" i="9"/>
  <c r="L20" i="11" s="1"/>
  <c r="M19" i="9"/>
  <c r="I22" i="9"/>
  <c r="I21" i="9"/>
  <c r="I20" i="9"/>
  <c r="I19" i="9"/>
  <c r="E22" i="9"/>
  <c r="E21" i="9"/>
  <c r="E20" i="9"/>
  <c r="E19" i="9"/>
  <c r="G17" i="9"/>
  <c r="E15" i="9"/>
  <c r="D15" i="11" s="1"/>
  <c r="E14" i="9"/>
  <c r="D14" i="11" s="1"/>
  <c r="E13" i="9"/>
  <c r="E12" i="9"/>
  <c r="E11" i="9"/>
  <c r="AM17" i="9"/>
  <c r="AK16" i="9"/>
  <c r="AK15" i="9"/>
  <c r="AK13" i="9"/>
  <c r="AJ13" i="11" s="1"/>
  <c r="AK11" i="9"/>
  <c r="AI17" i="9"/>
  <c r="AG16" i="9"/>
  <c r="AF16" i="11" s="1"/>
  <c r="AG15" i="9"/>
  <c r="AF15" i="11" s="1"/>
  <c r="AG14" i="9"/>
  <c r="AF14" i="11" s="1"/>
  <c r="AG13" i="9"/>
  <c r="AG11" i="9"/>
  <c r="AC17" i="9"/>
  <c r="AC16" i="9"/>
  <c r="AC15" i="9"/>
  <c r="AC14" i="9"/>
  <c r="AB14" i="11" s="1"/>
  <c r="AC13" i="9"/>
  <c r="AB13" i="11" s="1"/>
  <c r="AC11" i="9"/>
  <c r="AB11" i="11" s="1"/>
  <c r="Y17" i="9"/>
  <c r="Y16" i="9"/>
  <c r="Y15" i="9"/>
  <c r="Y14" i="9"/>
  <c r="X14" i="11" s="1"/>
  <c r="Y13" i="9"/>
  <c r="Y11" i="9"/>
  <c r="X11" i="11" s="1"/>
  <c r="U17" i="9"/>
  <c r="U16" i="9"/>
  <c r="U15" i="9"/>
  <c r="T15" i="11" s="1"/>
  <c r="U14" i="9"/>
  <c r="T14" i="11" s="1"/>
  <c r="U13" i="9"/>
  <c r="T13" i="11" s="1"/>
  <c r="U11" i="9"/>
  <c r="Q17" i="9"/>
  <c r="Q16" i="9"/>
  <c r="P16" i="11" s="1"/>
  <c r="Q15" i="9"/>
  <c r="P15" i="11" s="1"/>
  <c r="Q14" i="9"/>
  <c r="P14" i="11" s="1"/>
  <c r="Q13" i="9"/>
  <c r="P13" i="11" s="1"/>
  <c r="S12" i="9"/>
  <c r="Q11" i="9"/>
  <c r="M17" i="9"/>
  <c r="M16" i="9"/>
  <c r="M15" i="9"/>
  <c r="M14" i="9"/>
  <c r="L14" i="11" s="1"/>
  <c r="M13" i="9"/>
  <c r="M11" i="9"/>
  <c r="L11" i="11" s="1"/>
  <c r="I17" i="9"/>
  <c r="I16" i="9"/>
  <c r="I15" i="9"/>
  <c r="I14" i="9"/>
  <c r="I13" i="9"/>
  <c r="H13" i="11" s="1"/>
  <c r="I11" i="9"/>
  <c r="H11" i="11" s="1"/>
  <c r="G16" i="9"/>
  <c r="AM22" i="9"/>
  <c r="AM21" i="9"/>
  <c r="AM20" i="9"/>
  <c r="AI22" i="9"/>
  <c r="AI21" i="9"/>
  <c r="AA22" i="9"/>
  <c r="AA21" i="9"/>
  <c r="W22" i="9"/>
  <c r="W21" i="9"/>
  <c r="O22" i="9"/>
  <c r="O21" i="9"/>
  <c r="O20" i="9"/>
  <c r="AM14" i="9"/>
  <c r="AM13" i="9"/>
  <c r="AM12" i="9"/>
  <c r="AI16" i="9"/>
  <c r="AI15" i="9"/>
  <c r="AI14" i="9"/>
  <c r="AI12" i="9"/>
  <c r="AE14" i="9"/>
  <c r="AE13" i="9"/>
  <c r="AE12" i="9"/>
  <c r="AE11" i="9"/>
  <c r="AA12" i="9"/>
  <c r="W15" i="9"/>
  <c r="W14" i="9"/>
  <c r="W13" i="9"/>
  <c r="W12" i="9"/>
  <c r="S16" i="9"/>
  <c r="S15" i="9"/>
  <c r="S13" i="9"/>
  <c r="O14" i="9"/>
  <c r="O12" i="9"/>
  <c r="O11" i="9"/>
  <c r="K13" i="9"/>
  <c r="K12" i="9"/>
  <c r="AI25" i="9"/>
  <c r="AI24" i="9"/>
  <c r="AE24" i="9"/>
  <c r="W25" i="9"/>
  <c r="W24" i="9"/>
  <c r="O24" i="9"/>
  <c r="G14" i="9"/>
  <c r="AA11" i="9" l="1"/>
  <c r="AA14" i="9"/>
  <c r="S17" i="9"/>
  <c r="P17" i="11"/>
  <c r="G13" i="9"/>
  <c r="D13" i="11"/>
  <c r="K19" i="9"/>
  <c r="H19" i="11"/>
  <c r="S19" i="9"/>
  <c r="P19" i="11"/>
  <c r="AA19" i="9"/>
  <c r="X19" i="11"/>
  <c r="AI19" i="9"/>
  <c r="AF19" i="11"/>
  <c r="K24" i="9"/>
  <c r="H24" i="11"/>
  <c r="AA24" i="9"/>
  <c r="X24" i="11"/>
  <c r="K15" i="9"/>
  <c r="H15" i="11"/>
  <c r="O17" i="9"/>
  <c r="L17" i="11"/>
  <c r="W11" i="9"/>
  <c r="T11" i="11"/>
  <c r="AE16" i="9"/>
  <c r="AB16" i="11"/>
  <c r="AM11" i="9"/>
  <c r="AJ11" i="11"/>
  <c r="K20" i="9"/>
  <c r="H20" i="11"/>
  <c r="S20" i="9"/>
  <c r="P20" i="11"/>
  <c r="AA20" i="9"/>
  <c r="X20" i="11"/>
  <c r="AI20" i="9"/>
  <c r="AF20" i="11"/>
  <c r="K25" i="9"/>
  <c r="H25" i="11"/>
  <c r="AA25" i="9"/>
  <c r="X25" i="11"/>
  <c r="K14" i="9"/>
  <c r="H14" i="11"/>
  <c r="AE15" i="9"/>
  <c r="AB15" i="11"/>
  <c r="S11" i="9"/>
  <c r="P11" i="11"/>
  <c r="AA15" i="9"/>
  <c r="X15" i="11"/>
  <c r="AE17" i="9"/>
  <c r="AB17" i="11"/>
  <c r="K21" i="9"/>
  <c r="H21" i="11"/>
  <c r="S21" i="9"/>
  <c r="P21" i="11"/>
  <c r="O16" i="9"/>
  <c r="L16" i="11"/>
  <c r="K16" i="9"/>
  <c r="H16" i="11"/>
  <c r="S14" i="9"/>
  <c r="AA16" i="9"/>
  <c r="X16" i="11"/>
  <c r="AI11" i="9"/>
  <c r="AF11" i="11"/>
  <c r="AM15" i="9"/>
  <c r="AJ15" i="11"/>
  <c r="K22" i="9"/>
  <c r="H22" i="11"/>
  <c r="S22" i="9"/>
  <c r="P22" i="11"/>
  <c r="O25" i="9"/>
  <c r="L25" i="11"/>
  <c r="AE25" i="9"/>
  <c r="AE26" i="9" s="1"/>
  <c r="AE27" i="9" s="1"/>
  <c r="AB25" i="11"/>
  <c r="AA13" i="9"/>
  <c r="X13" i="11"/>
  <c r="K17" i="9"/>
  <c r="H17" i="11"/>
  <c r="K11" i="9"/>
  <c r="G15" i="9"/>
  <c r="AA17" i="9"/>
  <c r="X17" i="11"/>
  <c r="AI13" i="9"/>
  <c r="AI26" i="9" s="1"/>
  <c r="AI27" i="9" s="1"/>
  <c r="AF13" i="11"/>
  <c r="AM16" i="9"/>
  <c r="AJ16" i="11"/>
  <c r="G19" i="9"/>
  <c r="D19" i="11"/>
  <c r="O19" i="9"/>
  <c r="L19" i="11"/>
  <c r="W19" i="9"/>
  <c r="T19" i="11"/>
  <c r="AE19" i="9"/>
  <c r="AB19" i="11"/>
  <c r="AM19" i="9"/>
  <c r="AJ19" i="11"/>
  <c r="S24" i="9"/>
  <c r="S26" i="9" s="1"/>
  <c r="S27" i="9" s="1"/>
  <c r="P24" i="11"/>
  <c r="O13" i="9"/>
  <c r="L13" i="11"/>
  <c r="W16" i="9"/>
  <c r="T16" i="11"/>
  <c r="G20" i="9"/>
  <c r="D20" i="11"/>
  <c r="W20" i="9"/>
  <c r="W26" i="9" s="1"/>
  <c r="W27" i="9" s="1"/>
  <c r="T20" i="11"/>
  <c r="AE20" i="9"/>
  <c r="AB20" i="11"/>
  <c r="S25" i="9"/>
  <c r="P25" i="11"/>
  <c r="W17" i="9"/>
  <c r="T17" i="11"/>
  <c r="G11" i="9"/>
  <c r="D11" i="11"/>
  <c r="G21" i="9"/>
  <c r="D21" i="11"/>
  <c r="AE21" i="9"/>
  <c r="AB21" i="11"/>
  <c r="G24" i="9"/>
  <c r="D24" i="11"/>
  <c r="AM24" i="9"/>
  <c r="AM26" i="9" s="1"/>
  <c r="AM27" i="9" s="1"/>
  <c r="AJ24" i="11"/>
  <c r="O15" i="9"/>
  <c r="L15" i="11"/>
  <c r="G12" i="9"/>
  <c r="D12" i="11"/>
  <c r="G22" i="9"/>
  <c r="D22" i="11"/>
  <c r="AE22" i="9"/>
  <c r="AB22" i="11"/>
  <c r="G25" i="9"/>
  <c r="D25" i="11"/>
  <c r="AM25" i="9"/>
  <c r="AJ25" i="11"/>
  <c r="O26" i="9"/>
  <c r="O27" i="9" s="1"/>
  <c r="AB27" i="17"/>
  <c r="P27" i="17"/>
  <c r="AF27" i="17"/>
  <c r="AJ27" i="17"/>
  <c r="T27" i="17"/>
  <c r="X27" i="17"/>
  <c r="K12" i="17"/>
  <c r="AE15" i="17"/>
  <c r="K15" i="17"/>
  <c r="K22" i="17"/>
  <c r="K13" i="17"/>
  <c r="L14" i="17"/>
  <c r="L27" i="17" s="1"/>
  <c r="L28" i="17" s="1"/>
  <c r="W25" i="17"/>
  <c r="AE16" i="17"/>
  <c r="W16" i="17"/>
  <c r="AI16" i="17"/>
  <c r="O17" i="17"/>
  <c r="AA15" i="17"/>
  <c r="AM16" i="17"/>
  <c r="AN28" i="17"/>
  <c r="AM17" i="17"/>
  <c r="W17" i="17"/>
  <c r="AA23" i="17"/>
  <c r="AI25" i="17"/>
  <c r="S26" i="17"/>
  <c r="G17" i="17"/>
  <c r="O25" i="17"/>
  <c r="AA16" i="17"/>
  <c r="AI17" i="17"/>
  <c r="O13" i="17"/>
  <c r="AB28" i="17"/>
  <c r="G16" i="17"/>
  <c r="AM25" i="17"/>
  <c r="AF28" i="17"/>
  <c r="AE20" i="17"/>
  <c r="AJ28" i="17"/>
  <c r="AM23" i="17"/>
  <c r="S13" i="17"/>
  <c r="S15" i="17"/>
  <c r="W13" i="17"/>
  <c r="W18" i="17"/>
  <c r="W26" i="17"/>
  <c r="AA17" i="17"/>
  <c r="AA25" i="17"/>
  <c r="AI13" i="17"/>
  <c r="AI18" i="17"/>
  <c r="AI26" i="17"/>
  <c r="S20" i="17"/>
  <c r="W15" i="17"/>
  <c r="W20" i="17"/>
  <c r="AA13" i="17"/>
  <c r="AA18" i="17"/>
  <c r="AA26" i="17"/>
  <c r="AI15" i="17"/>
  <c r="AI20" i="17"/>
  <c r="S23" i="17"/>
  <c r="AE23" i="17"/>
  <c r="AE17" i="17"/>
  <c r="AE25" i="17"/>
  <c r="AM13" i="17"/>
  <c r="AM18" i="17"/>
  <c r="AM26" i="17"/>
  <c r="AI23" i="17"/>
  <c r="O26" i="17"/>
  <c r="W23" i="17"/>
  <c r="AA20" i="17"/>
  <c r="K16" i="17"/>
  <c r="G23" i="17"/>
  <c r="AE13" i="17"/>
  <c r="AE18" i="17"/>
  <c r="AE26" i="17"/>
  <c r="AM15" i="17"/>
  <c r="AM20" i="17"/>
  <c r="X28" i="17"/>
  <c r="T28" i="17"/>
  <c r="P28" i="17"/>
  <c r="H28" i="17"/>
  <c r="G18" i="17"/>
  <c r="K17" i="17"/>
  <c r="G20" i="17"/>
  <c r="S25" i="17"/>
  <c r="K18" i="17"/>
  <c r="G13" i="17"/>
  <c r="O18" i="17"/>
  <c r="K23" i="17"/>
  <c r="G26" i="17"/>
  <c r="K20" i="17"/>
  <c r="K25" i="17"/>
  <c r="G26" i="9" l="1"/>
  <c r="G27" i="9" s="1"/>
  <c r="AA26" i="9"/>
  <c r="AA27" i="9" s="1"/>
  <c r="K26" i="9"/>
  <c r="K27" i="9" s="1"/>
  <c r="W28" i="17"/>
  <c r="AI28" i="17"/>
  <c r="O28" i="17"/>
  <c r="AM28" i="17"/>
  <c r="AA28" i="17"/>
  <c r="S28" i="17"/>
  <c r="AE28" i="17"/>
  <c r="G28" i="17"/>
  <c r="K28" i="17"/>
  <c r="N121" i="6" l="1"/>
  <c r="G121" i="6"/>
  <c r="I119" i="7"/>
  <c r="H119" i="7"/>
  <c r="G119" i="7"/>
  <c r="L121" i="6"/>
  <c r="J121" i="6"/>
  <c r="M121" i="6"/>
  <c r="H121" i="6"/>
  <c r="K121" i="6"/>
  <c r="O121" i="6"/>
  <c r="P121" i="6"/>
  <c r="I121" i="6"/>
  <c r="C19" i="15"/>
  <c r="G10" i="15"/>
  <c r="F10" i="15"/>
  <c r="E10" i="15"/>
  <c r="D10" i="15"/>
  <c r="C18" i="15"/>
  <c r="G18" i="15" s="1"/>
  <c r="H9" i="15"/>
  <c r="G9" i="15"/>
  <c r="F9" i="15"/>
  <c r="E9" i="15"/>
  <c r="D9" i="15"/>
  <c r="C17" i="15"/>
  <c r="H8" i="15"/>
  <c r="G8" i="15"/>
  <c r="F8" i="15"/>
  <c r="E8" i="15"/>
  <c r="D8" i="15"/>
  <c r="C16" i="15"/>
  <c r="H7" i="15"/>
  <c r="G7" i="15"/>
  <c r="F7" i="15"/>
  <c r="E7" i="15"/>
  <c r="D7" i="15"/>
  <c r="C15" i="15"/>
  <c r="H6" i="15"/>
  <c r="G6" i="15"/>
  <c r="F6" i="15"/>
  <c r="E6" i="15"/>
  <c r="D6" i="15"/>
  <c r="C14" i="15"/>
  <c r="D14" i="15" s="1"/>
  <c r="H5" i="15"/>
  <c r="G5" i="15"/>
  <c r="F5" i="15"/>
  <c r="E5" i="15"/>
  <c r="D5" i="15"/>
  <c r="C13" i="15"/>
  <c r="H4" i="15"/>
  <c r="G4" i="15"/>
  <c r="F4" i="15"/>
  <c r="E4" i="15"/>
  <c r="D4" i="15"/>
  <c r="L4" i="15" s="1"/>
  <c r="N126" i="6" l="1"/>
  <c r="N127" i="6" s="1"/>
  <c r="M126" i="6"/>
  <c r="M127" i="6" s="1"/>
  <c r="J126" i="6"/>
  <c r="H126" i="6"/>
  <c r="H127" i="6" s="1"/>
  <c r="L126" i="6"/>
  <c r="L127" i="6" s="1"/>
  <c r="P126" i="6"/>
  <c r="P127" i="6" s="1"/>
  <c r="O126" i="6"/>
  <c r="O127" i="6" s="1"/>
  <c r="I126" i="6"/>
  <c r="I127" i="6" s="1"/>
  <c r="K126" i="6"/>
  <c r="K127" i="6" s="1"/>
  <c r="G126" i="6"/>
  <c r="G127" i="6" s="1"/>
  <c r="M142" i="6"/>
  <c r="J142" i="6"/>
  <c r="L142" i="6"/>
  <c r="G140" i="7"/>
  <c r="G124" i="7"/>
  <c r="G125" i="7" s="1"/>
  <c r="P142" i="6"/>
  <c r="H124" i="7"/>
  <c r="H140" i="7"/>
  <c r="O142" i="6"/>
  <c r="I140" i="7"/>
  <c r="I124" i="7"/>
  <c r="I125" i="7" s="1"/>
  <c r="I142" i="6"/>
  <c r="K142" i="6"/>
  <c r="G142" i="6"/>
  <c r="H142" i="6"/>
  <c r="N142" i="6"/>
  <c r="L8" i="15"/>
  <c r="L5" i="15"/>
  <c r="L9" i="15"/>
  <c r="L7" i="15"/>
  <c r="L10" i="15"/>
  <c r="L6" i="15"/>
  <c r="G17" i="15"/>
  <c r="H17" i="15"/>
  <c r="G13" i="15"/>
  <c r="E13" i="15"/>
  <c r="H13" i="15"/>
  <c r="F13" i="15"/>
  <c r="D13" i="15"/>
  <c r="D19" i="15"/>
  <c r="E19" i="15"/>
  <c r="G19" i="15"/>
  <c r="F19" i="15"/>
  <c r="E16" i="15"/>
  <c r="H16" i="15"/>
  <c r="F16" i="15"/>
  <c r="D16" i="15"/>
  <c r="G16" i="15"/>
  <c r="H15" i="15"/>
  <c r="G15" i="15"/>
  <c r="K40" i="1" s="1"/>
  <c r="F15" i="15"/>
  <c r="E15" i="15"/>
  <c r="D15" i="15"/>
  <c r="E14" i="15"/>
  <c r="E18" i="15"/>
  <c r="F14" i="15"/>
  <c r="D17" i="15"/>
  <c r="F18" i="15"/>
  <c r="K41" i="1" s="1"/>
  <c r="D18" i="15"/>
  <c r="G14" i="15"/>
  <c r="E17" i="15"/>
  <c r="H14" i="15"/>
  <c r="F17" i="15"/>
  <c r="J127" i="6" l="1"/>
  <c r="H125" i="7"/>
  <c r="K45" i="1"/>
  <c r="H129" i="6" s="1"/>
  <c r="K61" i="1"/>
  <c r="I130" i="7" s="1"/>
  <c r="K53" i="1"/>
  <c r="L129" i="6" s="1"/>
  <c r="K47" i="1"/>
  <c r="I131" i="6" s="1"/>
  <c r="K55" i="1"/>
  <c r="M130" i="6" s="1"/>
  <c r="K51" i="1"/>
  <c r="K130" i="6" s="1"/>
  <c r="K59" i="1"/>
  <c r="O132" i="6" s="1"/>
  <c r="K49" i="1"/>
  <c r="K57" i="1"/>
  <c r="N128" i="6" s="1"/>
  <c r="K128" i="6" l="1"/>
  <c r="K129" i="6"/>
  <c r="K132" i="6"/>
  <c r="K131" i="6"/>
  <c r="J129" i="6"/>
  <c r="J130" i="6"/>
  <c r="J128" i="6"/>
  <c r="J132" i="6"/>
  <c r="J131" i="6"/>
  <c r="M132" i="6"/>
  <c r="L131" i="6"/>
  <c r="N129" i="6"/>
  <c r="G128" i="7"/>
  <c r="H127" i="7"/>
  <c r="O129" i="6"/>
  <c r="H128" i="6"/>
  <c r="O130" i="6"/>
  <c r="G128" i="6"/>
  <c r="G130" i="6"/>
  <c r="M131" i="6"/>
  <c r="G131" i="6"/>
  <c r="M128" i="6"/>
  <c r="M129" i="6"/>
  <c r="I132" i="6"/>
  <c r="I128" i="6"/>
  <c r="L128" i="6"/>
  <c r="N131" i="6"/>
  <c r="N130" i="6"/>
  <c r="N132" i="6"/>
  <c r="I127" i="7"/>
  <c r="O131" i="6"/>
  <c r="I129" i="6"/>
  <c r="H131" i="6"/>
  <c r="P128" i="6"/>
  <c r="I126" i="7"/>
  <c r="G129" i="6"/>
  <c r="L132" i="6"/>
  <c r="L130" i="6"/>
  <c r="G129" i="7"/>
  <c r="G127" i="7"/>
  <c r="I128" i="7"/>
  <c r="I129" i="7"/>
  <c r="O128" i="6"/>
  <c r="I130" i="6"/>
  <c r="P129" i="6"/>
  <c r="P130" i="6"/>
  <c r="G126" i="7"/>
  <c r="G130" i="7"/>
  <c r="P132" i="6"/>
  <c r="G132" i="6"/>
  <c r="P131" i="6"/>
  <c r="H132" i="6"/>
  <c r="H130" i="6"/>
  <c r="H130" i="7"/>
  <c r="H126" i="7"/>
  <c r="H128" i="7"/>
  <c r="H129" i="7"/>
  <c r="E18" i="16"/>
  <c r="K133" i="6" l="1"/>
  <c r="K134" i="6" s="1"/>
  <c r="K143" i="6" s="1"/>
  <c r="K144" i="6" s="1"/>
  <c r="Q11" i="11" s="1"/>
  <c r="Q13" i="11" s="1"/>
  <c r="R13" i="11" s="1"/>
  <c r="J133" i="6"/>
  <c r="J134" i="6" s="1"/>
  <c r="J143" i="6" s="1"/>
  <c r="J144" i="6" s="1"/>
  <c r="M11" i="11" s="1"/>
  <c r="M17" i="11" s="1"/>
  <c r="N17" i="11" s="1"/>
  <c r="L17" i="12" s="1"/>
  <c r="N17" i="12" s="1"/>
  <c r="I131" i="7"/>
  <c r="I132" i="7" s="1"/>
  <c r="I141" i="7" s="1"/>
  <c r="I142" i="7" s="1"/>
  <c r="AK11" i="11" s="1"/>
  <c r="AK12" i="11" s="1"/>
  <c r="AL12" i="11" s="1"/>
  <c r="AJ12" i="12" s="1"/>
  <c r="AL12" i="12" s="1"/>
  <c r="O133" i="6"/>
  <c r="O134" i="6" s="1"/>
  <c r="O143" i="6" s="1"/>
  <c r="O144" i="6" s="1"/>
  <c r="AG17" i="11" s="1"/>
  <c r="AH17" i="11" s="1"/>
  <c r="AF17" i="12" s="1"/>
  <c r="AH17" i="12" s="1"/>
  <c r="M133" i="6"/>
  <c r="M134" i="6" s="1"/>
  <c r="M143" i="6" s="1"/>
  <c r="M144" i="6" s="1"/>
  <c r="Y11" i="11" s="1"/>
  <c r="Y25" i="11" s="1"/>
  <c r="Z25" i="11" s="1"/>
  <c r="X29" i="12" s="1"/>
  <c r="Z29" i="12" s="1"/>
  <c r="G133" i="6"/>
  <c r="G134" i="6" s="1"/>
  <c r="G143" i="6" s="1"/>
  <c r="G144" i="6" s="1"/>
  <c r="N133" i="6"/>
  <c r="N134" i="6" s="1"/>
  <c r="N143" i="6" s="1"/>
  <c r="N144" i="6" s="1"/>
  <c r="AC11" i="11" s="1"/>
  <c r="AC16" i="11" s="1"/>
  <c r="AD16" i="11" s="1"/>
  <c r="AB16" i="12" s="1"/>
  <c r="AD16" i="12" s="1"/>
  <c r="H133" i="6"/>
  <c r="H134" i="6" s="1"/>
  <c r="H143" i="6" s="1"/>
  <c r="H144" i="6" s="1"/>
  <c r="E17" i="11" s="1"/>
  <c r="F17" i="11" s="1"/>
  <c r="D17" i="12" s="1"/>
  <c r="F17" i="12" s="1"/>
  <c r="L133" i="6"/>
  <c r="L134" i="6" s="1"/>
  <c r="L143" i="6" s="1"/>
  <c r="L144" i="6" s="1"/>
  <c r="L21" i="13" s="1"/>
  <c r="I133" i="6"/>
  <c r="I134" i="6" s="1"/>
  <c r="I143" i="6" s="1"/>
  <c r="I144" i="6" s="1"/>
  <c r="I11" i="11" s="1"/>
  <c r="I17" i="11" s="1"/>
  <c r="J17" i="11" s="1"/>
  <c r="H17" i="12" s="1"/>
  <c r="J17" i="12" s="1"/>
  <c r="G131" i="7"/>
  <c r="G132" i="7" s="1"/>
  <c r="G141" i="7" s="1"/>
  <c r="G142" i="7" s="1"/>
  <c r="E11" i="11" s="1"/>
  <c r="E20" i="11" s="1"/>
  <c r="F20" i="11" s="1"/>
  <c r="P133" i="6"/>
  <c r="P134" i="6" s="1"/>
  <c r="P143" i="6" s="1"/>
  <c r="P144" i="6" s="1"/>
  <c r="AK17" i="11" s="1"/>
  <c r="AL17" i="11" s="1"/>
  <c r="AJ17" i="12" s="1"/>
  <c r="AL17" i="12" s="1"/>
  <c r="H131" i="7"/>
  <c r="H132" i="7" s="1"/>
  <c r="H141" i="7" s="1"/>
  <c r="H142" i="7" s="1"/>
  <c r="C12" i="16"/>
  <c r="E12" i="16" s="1"/>
  <c r="C4" i="16"/>
  <c r="E4" i="16" s="1"/>
  <c r="C14" i="16"/>
  <c r="E14" i="16" s="1"/>
  <c r="C17" i="16"/>
  <c r="E17" i="16" s="1"/>
  <c r="C7" i="16"/>
  <c r="E7" i="16" s="1"/>
  <c r="C16" i="16"/>
  <c r="E16" i="16" s="1"/>
  <c r="L20" i="13" l="1"/>
  <c r="L19" i="13"/>
  <c r="L22" i="13"/>
  <c r="L23" i="13"/>
  <c r="L18" i="13"/>
  <c r="L16" i="13"/>
  <c r="D17" i="13"/>
  <c r="F17" i="13" s="1"/>
  <c r="U11" i="11"/>
  <c r="U17" i="11" s="1"/>
  <c r="V17" i="11" s="1"/>
  <c r="T17" i="12" s="1"/>
  <c r="V17" i="12" s="1"/>
  <c r="L25" i="13"/>
  <c r="AK24" i="11"/>
  <c r="AL24" i="11" s="1"/>
  <c r="AJ28" i="12" s="1"/>
  <c r="AL28" i="12" s="1"/>
  <c r="AK14" i="11"/>
  <c r="AL14" i="11" s="1"/>
  <c r="AJ14" i="12" s="1"/>
  <c r="AL14" i="12" s="1"/>
  <c r="Y20" i="11"/>
  <c r="Z20" i="11" s="1"/>
  <c r="X22" i="12" s="1"/>
  <c r="Z22" i="12" s="1"/>
  <c r="Z11" i="11"/>
  <c r="Y14" i="11"/>
  <c r="Z14" i="11" s="1"/>
  <c r="X14" i="12" s="1"/>
  <c r="Z14" i="12" s="1"/>
  <c r="AC21" i="11"/>
  <c r="AD21" i="11" s="1"/>
  <c r="AC17" i="11"/>
  <c r="AD17" i="11" s="1"/>
  <c r="AB17" i="12" s="1"/>
  <c r="AD17" i="12" s="1"/>
  <c r="AC25" i="11"/>
  <c r="AD25" i="11" s="1"/>
  <c r="AB29" i="12" s="1"/>
  <c r="AD29" i="12" s="1"/>
  <c r="AK15" i="11"/>
  <c r="AL15" i="11" s="1"/>
  <c r="AJ15" i="12" s="1"/>
  <c r="AL15" i="12" s="1"/>
  <c r="AK19" i="11"/>
  <c r="AL19" i="11" s="1"/>
  <c r="AJ21" i="12" s="1"/>
  <c r="AL21" i="12" s="1"/>
  <c r="AK20" i="11"/>
  <c r="AL20" i="11" s="1"/>
  <c r="AJ22" i="12" s="1"/>
  <c r="AL22" i="12" s="1"/>
  <c r="AC20" i="11"/>
  <c r="AD20" i="11" s="1"/>
  <c r="AB22" i="12" s="1"/>
  <c r="AD22" i="12" s="1"/>
  <c r="AK25" i="11"/>
  <c r="AL25" i="11" s="1"/>
  <c r="AJ29" i="12" s="1"/>
  <c r="AL29" i="12" s="1"/>
  <c r="AK21" i="11"/>
  <c r="AL21" i="11" s="1"/>
  <c r="AJ23" i="12" s="1"/>
  <c r="AL23" i="12" s="1"/>
  <c r="AC15" i="11"/>
  <c r="AD15" i="11" s="1"/>
  <c r="AB15" i="12" s="1"/>
  <c r="AD15" i="12" s="1"/>
  <c r="AK13" i="11"/>
  <c r="AL13" i="11" s="1"/>
  <c r="AK22" i="11"/>
  <c r="AL22" i="11" s="1"/>
  <c r="AL11" i="11"/>
  <c r="AK16" i="11"/>
  <c r="AL16" i="11" s="1"/>
  <c r="AJ16" i="12" s="1"/>
  <c r="AL16" i="12" s="1"/>
  <c r="AC14" i="11"/>
  <c r="AD14" i="11" s="1"/>
  <c r="AB14" i="12" s="1"/>
  <c r="AD14" i="12" s="1"/>
  <c r="Y22" i="11"/>
  <c r="Z22" i="11" s="1"/>
  <c r="Y21" i="11"/>
  <c r="Z21" i="11" s="1"/>
  <c r="X23" i="12" s="1"/>
  <c r="Z23" i="12" s="1"/>
  <c r="Y15" i="11"/>
  <c r="Z15" i="11" s="1"/>
  <c r="X15" i="12" s="1"/>
  <c r="Z15" i="12" s="1"/>
  <c r="I14" i="11"/>
  <c r="J14" i="11" s="1"/>
  <c r="H14" i="12" s="1"/>
  <c r="J14" i="12" s="1"/>
  <c r="AC12" i="11"/>
  <c r="AD12" i="11" s="1"/>
  <c r="AB12" i="12" s="1"/>
  <c r="AD12" i="12" s="1"/>
  <c r="AC24" i="11"/>
  <c r="AD24" i="11" s="1"/>
  <c r="AB28" i="12" s="1"/>
  <c r="AD28" i="12" s="1"/>
  <c r="M19" i="11"/>
  <c r="N19" i="11" s="1"/>
  <c r="I19" i="11"/>
  <c r="J19" i="11" s="1"/>
  <c r="H21" i="12" s="1"/>
  <c r="J21" i="12" s="1"/>
  <c r="J25" i="12" s="1"/>
  <c r="J11" i="11"/>
  <c r="Y17" i="11"/>
  <c r="Z17" i="11" s="1"/>
  <c r="X17" i="12" s="1"/>
  <c r="Z17" i="12" s="1"/>
  <c r="I24" i="11"/>
  <c r="J24" i="11" s="1"/>
  <c r="H28" i="12" s="1"/>
  <c r="J28" i="12" s="1"/>
  <c r="Y19" i="11"/>
  <c r="Z19" i="11" s="1"/>
  <c r="X21" i="12" s="1"/>
  <c r="Z21" i="12" s="1"/>
  <c r="E12" i="11"/>
  <c r="E13" i="11" s="1"/>
  <c r="M20" i="11"/>
  <c r="N20" i="11" s="1"/>
  <c r="L22" i="12" s="1"/>
  <c r="N22" i="12" s="1"/>
  <c r="N25" i="12" s="1"/>
  <c r="M13" i="11"/>
  <c r="N13" i="11" s="1"/>
  <c r="M14" i="11"/>
  <c r="N14" i="11" s="1"/>
  <c r="Y16" i="11"/>
  <c r="Z16" i="11" s="1"/>
  <c r="X16" i="12" s="1"/>
  <c r="Z16" i="12" s="1"/>
  <c r="M22" i="11"/>
  <c r="N22" i="11" s="1"/>
  <c r="M21" i="11"/>
  <c r="N21" i="11" s="1"/>
  <c r="Y13" i="11"/>
  <c r="Z13" i="11" s="1"/>
  <c r="Y12" i="11"/>
  <c r="Z12" i="11" s="1"/>
  <c r="X12" i="12" s="1"/>
  <c r="Z12" i="12" s="1"/>
  <c r="M16" i="11"/>
  <c r="N16" i="11" s="1"/>
  <c r="L16" i="12" s="1"/>
  <c r="N16" i="12" s="1"/>
  <c r="Y24" i="11"/>
  <c r="Z24" i="11" s="1"/>
  <c r="X28" i="12" s="1"/>
  <c r="Z28" i="12" s="1"/>
  <c r="Z30" i="12" s="1"/>
  <c r="M12" i="11"/>
  <c r="N12" i="11" s="1"/>
  <c r="L12" i="12" s="1"/>
  <c r="N12" i="12" s="1"/>
  <c r="M15" i="11"/>
  <c r="N15" i="11" s="1"/>
  <c r="AC22" i="11"/>
  <c r="AD22" i="11" s="1"/>
  <c r="AD11" i="11"/>
  <c r="M24" i="11"/>
  <c r="N24" i="11" s="1"/>
  <c r="L28" i="12" s="1"/>
  <c r="N28" i="12" s="1"/>
  <c r="N11" i="11"/>
  <c r="AC13" i="11"/>
  <c r="AD13" i="11" s="1"/>
  <c r="M25" i="11"/>
  <c r="N25" i="11" s="1"/>
  <c r="L29" i="12" s="1"/>
  <c r="N29" i="12" s="1"/>
  <c r="I12" i="11"/>
  <c r="J12" i="11" s="1"/>
  <c r="H12" i="12" s="1"/>
  <c r="J12" i="12" s="1"/>
  <c r="AC19" i="11"/>
  <c r="AD19" i="11" s="1"/>
  <c r="AB21" i="12" s="1"/>
  <c r="AD21" i="12" s="1"/>
  <c r="R11" i="11"/>
  <c r="AG11" i="11"/>
  <c r="AG19" i="11" s="1"/>
  <c r="AH19" i="11" s="1"/>
  <c r="AF21" i="12" s="1"/>
  <c r="AH21" i="12" s="1"/>
  <c r="L24" i="13"/>
  <c r="Q15" i="11"/>
  <c r="R15" i="11" s="1"/>
  <c r="Q19" i="11"/>
  <c r="R19" i="11" s="1"/>
  <c r="P21" i="12" s="1"/>
  <c r="R21" i="12" s="1"/>
  <c r="R25" i="12" s="1"/>
  <c r="Q20" i="11"/>
  <c r="R20" i="11" s="1"/>
  <c r="Q12" i="11"/>
  <c r="R12" i="11" s="1"/>
  <c r="P12" i="12" s="1"/>
  <c r="R12" i="12" s="1"/>
  <c r="Q14" i="11"/>
  <c r="R14" i="11" s="1"/>
  <c r="Q21" i="11"/>
  <c r="R21" i="11" s="1"/>
  <c r="Q17" i="11"/>
  <c r="R17" i="11" s="1"/>
  <c r="P17" i="12" s="1"/>
  <c r="R17" i="12" s="1"/>
  <c r="Q16" i="11"/>
  <c r="R16" i="11" s="1"/>
  <c r="P16" i="12" s="1"/>
  <c r="R16" i="12" s="1"/>
  <c r="Q22" i="11"/>
  <c r="R22" i="11" s="1"/>
  <c r="Q24" i="11"/>
  <c r="R24" i="11" s="1"/>
  <c r="P28" i="12" s="1"/>
  <c r="R28" i="12" s="1"/>
  <c r="Q25" i="11"/>
  <c r="R25" i="11" s="1"/>
  <c r="P29" i="12" s="1"/>
  <c r="R29" i="12" s="1"/>
  <c r="I20" i="11"/>
  <c r="J20" i="11" s="1"/>
  <c r="E21" i="11"/>
  <c r="F21" i="11" s="1"/>
  <c r="D23" i="12" s="1"/>
  <c r="E22" i="11"/>
  <c r="F22" i="11" s="1"/>
  <c r="D24" i="12" s="1"/>
  <c r="F24" i="12" s="1"/>
  <c r="I15" i="11"/>
  <c r="J15" i="11" s="1"/>
  <c r="I16" i="11"/>
  <c r="J16" i="11" s="1"/>
  <c r="H16" i="12" s="1"/>
  <c r="J16" i="12" s="1"/>
  <c r="I25" i="11"/>
  <c r="J25" i="11" s="1"/>
  <c r="H29" i="12" s="1"/>
  <c r="J29" i="12" s="1"/>
  <c r="I21" i="11"/>
  <c r="J21" i="11" s="1"/>
  <c r="I13" i="11"/>
  <c r="J13" i="11" s="1"/>
  <c r="I22" i="11"/>
  <c r="J22" i="11" s="1"/>
  <c r="E25" i="11"/>
  <c r="F25" i="11" s="1"/>
  <c r="D29" i="12" s="1"/>
  <c r="F29" i="12" s="1"/>
  <c r="F11" i="11"/>
  <c r="E24" i="11"/>
  <c r="F24" i="11" s="1"/>
  <c r="D28" i="12" s="1"/>
  <c r="F28" i="12" s="1"/>
  <c r="E19" i="11"/>
  <c r="F19" i="11" s="1"/>
  <c r="D21" i="12" s="1"/>
  <c r="F21" i="12" s="1"/>
  <c r="C5" i="16"/>
  <c r="U16" i="11" l="1"/>
  <c r="V16" i="11" s="1"/>
  <c r="T16" i="12" s="1"/>
  <c r="V16" i="12" s="1"/>
  <c r="U14" i="11"/>
  <c r="V14" i="11" s="1"/>
  <c r="U19" i="11"/>
  <c r="V19" i="11" s="1"/>
  <c r="T21" i="12" s="1"/>
  <c r="V21" i="12" s="1"/>
  <c r="U12" i="11"/>
  <c r="V12" i="11" s="1"/>
  <c r="T12" i="12" s="1"/>
  <c r="V12" i="12" s="1"/>
  <c r="U25" i="11"/>
  <c r="V25" i="11" s="1"/>
  <c r="T29" i="12" s="1"/>
  <c r="V29" i="12" s="1"/>
  <c r="V30" i="12" s="1"/>
  <c r="U15" i="11"/>
  <c r="V15" i="11" s="1"/>
  <c r="U13" i="11"/>
  <c r="V13" i="11" s="1"/>
  <c r="U22" i="11"/>
  <c r="V22" i="11" s="1"/>
  <c r="U20" i="11"/>
  <c r="V20" i="11" s="1"/>
  <c r="T22" i="12" s="1"/>
  <c r="V22" i="12" s="1"/>
  <c r="U21" i="11"/>
  <c r="V21" i="11" s="1"/>
  <c r="U24" i="11"/>
  <c r="V24" i="11" s="1"/>
  <c r="V11" i="11"/>
  <c r="L26" i="13"/>
  <c r="AL30" i="12"/>
  <c r="AL25" i="12"/>
  <c r="AD25" i="12"/>
  <c r="Z25" i="12"/>
  <c r="AD30" i="12"/>
  <c r="AD18" i="12"/>
  <c r="AL18" i="12"/>
  <c r="J30" i="12"/>
  <c r="F12" i="11"/>
  <c r="D12" i="12" s="1"/>
  <c r="F12" i="12" s="1"/>
  <c r="AG13" i="11"/>
  <c r="AH13" i="11" s="1"/>
  <c r="AF13" i="12" s="1"/>
  <c r="AH13" i="12" s="1"/>
  <c r="Z18" i="12"/>
  <c r="J18" i="12"/>
  <c r="AH11" i="11"/>
  <c r="AF11" i="12" s="1"/>
  <c r="AH11" i="12" s="1"/>
  <c r="AG16" i="11"/>
  <c r="AH16" i="11" s="1"/>
  <c r="AF16" i="12" s="1"/>
  <c r="AH16" i="12" s="1"/>
  <c r="AG24" i="11"/>
  <c r="AH24" i="11" s="1"/>
  <c r="AF28" i="12" s="1"/>
  <c r="AH28" i="12" s="1"/>
  <c r="AG14" i="11"/>
  <c r="AH14" i="11" s="1"/>
  <c r="AF14" i="12" s="1"/>
  <c r="AH14" i="12" s="1"/>
  <c r="AG12" i="11"/>
  <c r="AH12" i="11" s="1"/>
  <c r="AF12" i="12" s="1"/>
  <c r="AH12" i="12" s="1"/>
  <c r="N18" i="12"/>
  <c r="AG22" i="11"/>
  <c r="AH22" i="11" s="1"/>
  <c r="AG15" i="11"/>
  <c r="AH15" i="11" s="1"/>
  <c r="AF15" i="12" s="1"/>
  <c r="AH15" i="12" s="1"/>
  <c r="N30" i="12"/>
  <c r="AG25" i="11"/>
  <c r="AH25" i="11" s="1"/>
  <c r="AF29" i="12" s="1"/>
  <c r="AH29" i="12" s="1"/>
  <c r="AG21" i="11"/>
  <c r="AH21" i="11" s="1"/>
  <c r="AF23" i="12" s="1"/>
  <c r="AH23" i="12" s="1"/>
  <c r="AG20" i="11"/>
  <c r="AH20" i="11" s="1"/>
  <c r="AF22" i="12" s="1"/>
  <c r="AH22" i="12" s="1"/>
  <c r="R30" i="12"/>
  <c r="R18" i="12"/>
  <c r="F25" i="12"/>
  <c r="F30" i="12"/>
  <c r="E14" i="11"/>
  <c r="F13" i="11"/>
  <c r="E5" i="16"/>
  <c r="C15" i="16"/>
  <c r="E15" i="16" s="1"/>
  <c r="V18" i="12" l="1"/>
  <c r="V25" i="12"/>
  <c r="D22" i="13"/>
  <c r="F22" i="13" s="1"/>
  <c r="D25" i="13"/>
  <c r="F25" i="13" s="1"/>
  <c r="D23" i="13"/>
  <c r="F23" i="13" s="1"/>
  <c r="D18" i="13"/>
  <c r="F18" i="13" s="1"/>
  <c r="AH30" i="12"/>
  <c r="D19" i="13"/>
  <c r="F19" i="13" s="1"/>
  <c r="AH18" i="12"/>
  <c r="AH25" i="12"/>
  <c r="D20" i="13"/>
  <c r="F20" i="13" s="1"/>
  <c r="F14" i="11"/>
  <c r="D14" i="12" s="1"/>
  <c r="F14" i="12" s="1"/>
  <c r="E15" i="11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D21" i="13" l="1"/>
  <c r="F21" i="13" s="1"/>
  <c r="M23" i="13"/>
  <c r="M25" i="13"/>
  <c r="M19" i="13"/>
  <c r="M20" i="13"/>
  <c r="M22" i="13"/>
  <c r="M18" i="13"/>
  <c r="D24" i="13"/>
  <c r="F24" i="13" s="1"/>
  <c r="F15" i="11"/>
  <c r="D15" i="12" s="1"/>
  <c r="F15" i="12" s="1"/>
  <c r="E16" i="11"/>
  <c r="F16" i="11" s="1"/>
  <c r="D16" i="12" s="1"/>
  <c r="F16" i="12" s="1"/>
  <c r="E2" i="16"/>
  <c r="E3" i="16"/>
  <c r="M21" i="13" l="1"/>
  <c r="M24" i="13"/>
  <c r="F18" i="12"/>
  <c r="D16" i="13" s="1"/>
  <c r="G2" i="16"/>
  <c r="E19" i="16"/>
  <c r="M16" i="13" l="1"/>
  <c r="F16" i="13"/>
  <c r="H16" i="13" s="1"/>
  <c r="E16" i="13"/>
  <c r="E26" i="13" s="1"/>
  <c r="L28" i="13" l="1"/>
  <c r="L29" i="13" s="1"/>
  <c r="I16" i="13"/>
  <c r="J37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3" authorId="0" shapeId="0" xr:uid="{3A9D0B5E-5691-401B-BFF7-304897392F0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Cálculo feito com base nos dias úteis no ano de 2026, considerando 52 sábados, 52 domingos e 12 feriados nacionais (incluindo segunda-feira de carnaval). O valor encontrado foi 20,83, que decidimos aproximar para 21. Valor não deve ser alterado pela licitante, conforme item 2 da aba 'Instruções'. 
=ARRED((365-52-52-(11))/12;2)</t>
        </r>
      </text>
    </comment>
    <comment ref="C16" authorId="0" shapeId="0" xr:uid="{BAA4CC28-1C02-4057-BFB9-2469A2D9FBC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16" authorId="0" shapeId="0" xr:uid="{CACEB810-94AB-4089-A61D-5E67597FFD7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A18" authorId="0" shapeId="0" xr:uid="{55DA9938-2A57-487A-ACDA-68C0E60243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C18" authorId="0" shapeId="0" xr:uid="{3BD9FBA6-B7F3-4DF5-8E1E-267C68F2D38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Segunda.</t>
        </r>
      </text>
    </comment>
    <comment ref="K18" authorId="0" shapeId="0" xr:uid="{546C8B8D-89E6-41E3-B930-FE73A123F35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Sexta.</t>
        </r>
      </text>
    </comment>
    <comment ref="C20" authorId="0" shapeId="0" xr:uid="{5F5A2569-4796-4F6D-A37C-711F66571E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20" authorId="0" shapeId="0" xr:uid="{A171BD5E-5B27-4543-940B-8E06133E64D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A22" authorId="0" shapeId="0" xr:uid="{D5C9216B-8041-43AF-859F-FFAFA4E972D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C22" authorId="0" shapeId="0" xr:uid="{7015ABAE-0842-4175-8BDA-0AEE7F5E16D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Segunda.</t>
        </r>
      </text>
    </comment>
    <comment ref="K22" authorId="0" shapeId="0" xr:uid="{2002219C-C814-47EC-BC88-E220AB49E8B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Sexta.</t>
        </r>
      </text>
    </comment>
    <comment ref="C24" authorId="0" shapeId="0" xr:uid="{801530B0-EF39-444F-9F3C-0CE4BA414A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24" authorId="0" shapeId="0" xr:uid="{66365686-725A-4BA2-B053-ED7EC2E992C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C26" authorId="0" shapeId="0" xr:uid="{3EF12E55-981A-4B06-8111-AEAD489AB11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26" authorId="0" shapeId="0" xr:uid="{9139DC7F-E1F5-4F43-846D-4382275AFEE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28" authorId="0" shapeId="0" xr:uid="{5F789BD8-73CF-4217-9139-F79C60C6CDD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28" authorId="0" shapeId="0" xr:uid="{5B7744A5-CEBF-4A3E-99C0-9175F9F4D12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30" authorId="0" shapeId="0" xr:uid="{5DAEEE17-1501-4C1E-8D8F-8154D2E11C0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30" authorId="0" shapeId="0" xr:uid="{E1E2F716-37DB-4FFC-8EBD-885D4D24634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32" authorId="0" shapeId="0" xr:uid="{4F3A8F7D-3136-4932-8E66-7BEE7EB9EDF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32" authorId="0" shapeId="0" xr:uid="{62DBA56C-294B-4AB1-B62E-D0E8DBBA323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E39" authorId="0" shapeId="0" xr:uid="{3FD0013C-ECEA-4761-9A79-E66C04C3F5E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Escolha o regime tributario na seta ao lado.</t>
        </r>
      </text>
    </comment>
    <comment ref="K39" authorId="0" shapeId="0" xr:uid="{02A0D147-A44F-46C4-AFFF-FDD516673EC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40" authorId="0" shapeId="0" xr:uid="{64B19FDF-E80C-4376-A1FC-F629260F3BE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B61AFE49-491B-46A8-9AB9-ABCA1BDE70E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24" authorId="0" shapeId="0" xr:uid="{B58639A3-8E26-47CA-A5A7-6186B4F3E7B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28" authorId="1" shapeId="0" xr:uid="{1E9D06E7-C259-4411-8464-AD92F9A315D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7 de 8,8 horas, precisando ajustar a produtividade original.</t>
        </r>
      </text>
    </comment>
    <comment ref="K28" authorId="1" shapeId="0" xr:uid="{EFD7607B-D863-4477-8860-CA2AF2341D6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O28" authorId="1" shapeId="0" xr:uid="{F0408946-CF21-4009-AE79-808FB80DA71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S28" authorId="1" shapeId="0" xr:uid="{67D270A9-441A-482F-9906-3FDAA283156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W28" authorId="1" shapeId="0" xr:uid="{F6F27F66-0211-4C41-8EE6-23DE1B34C37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8" authorId="1" shapeId="0" xr:uid="{36ED566A-1D2E-4ABA-88E3-02FF3123BFA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E28" authorId="1" shapeId="0" xr:uid="{2E8A1E94-D014-4958-895C-2D28EB08173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I28" authorId="1" shapeId="0" xr:uid="{0B8EA61D-7F6D-47DB-94E9-C01158ED486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3 de 8,8 horas, precisando ajustar a produtividade original.</t>
        </r>
      </text>
    </comment>
    <comment ref="AM28" authorId="1" shapeId="0" xr:uid="{2B26C0A6-BA6F-4274-92AA-A7C393962F5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Há justificativa para 2 de 6 horas e para 2 de 8,8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2A6342D1-393A-44F9-B5C3-5C66059F060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7" authorId="0" shapeId="0" xr:uid="{1F5AC719-3078-408D-8E76-DDCCDA84B2F7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H65" authorId="0" shapeId="0" xr:uid="{8A9B2C88-07CE-41A7-B86B-2854B860A1D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5" authorId="0" shapeId="0" xr:uid="{8F755B11-4235-4C3D-A636-2995A549BFD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5" authorId="0" shapeId="0" xr:uid="{F3230232-1A80-4000-B0B3-5AA34382098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K65" authorId="0" shapeId="0" xr:uid="{D9FB1B8C-6D1A-4092-813B-E6C04632630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L65" authorId="0" shapeId="0" xr:uid="{03E2CE9F-E129-474E-AB7A-1CEED611E09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M65" authorId="0" shapeId="0" xr:uid="{180617C4-8515-4C1C-B9A1-C96FE99B4A0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N65" authorId="0" shapeId="0" xr:uid="{DAEF11AD-0A9D-449E-9D6E-8E39F2B10FE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O65" authorId="0" shapeId="0" xr:uid="{DBAD11AC-B4CF-4A7C-BFD5-63C5E370BF6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P65" authorId="0" shapeId="0" xr:uid="{D444CA9E-D5FA-4820-AE0A-E11F5E0E4E8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6" authorId="1" shapeId="0" xr:uid="{664AA6D3-8EF6-4109-9062-D71D9DCBB8A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8" authorId="0" shapeId="0" xr:uid="{C68E7134-F99E-4C6A-A80C-BC3F893C45F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0" shapeId="0" xr:uid="{9748CAEA-7823-423D-BEA6-0127A2F2530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0" shapeId="0" xr:uid="{32F6C013-4DE5-417B-B6E4-5C9BA3E7F68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8" authorId="0" shapeId="0" xr:uid="{BD0DBCDE-9F8B-4EF0-9CBF-A41CD53385D8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K68" authorId="0" shapeId="0" xr:uid="{119A1222-9CD4-4020-ACE0-A87EB622DC26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L68" authorId="0" shapeId="0" xr:uid="{F87BC239-14C1-48A2-8870-7F980DEBD03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M68" authorId="0" shapeId="0" xr:uid="{4C8AFA20-7BA3-4DB4-9113-37464D6B3AB6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N68" authorId="0" shapeId="0" xr:uid="{0E148597-5E91-42E4-A715-725B4BBD574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O68" authorId="0" shapeId="0" xr:uid="{E79DE851-911E-41B5-97EF-8C7DBA99F00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P68" authorId="0" shapeId="0" xr:uid="{08EE3D8E-DB74-4E72-A2A3-9ACA29F41701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0" authorId="1" shapeId="0" xr:uid="{59B3E036-AF17-4557-BAB6-10537D36DF2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6" authorId="1" shapeId="0" xr:uid="{C67C43E8-EA02-4109-A762-780380593D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2" authorId="1" shapeId="0" xr:uid="{D0B18228-F62A-4C45-AC78-29D14FD0155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0" authorId="1" shapeId="0" xr:uid="{2089194F-3252-43BF-A349-A98895AFACB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2" authorId="0" shapeId="0" xr:uid="{98B4703C-195B-4EAC-8DFA-774CD534939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4" authorId="1" shapeId="0" xr:uid="{24575504-9B1C-4F76-8C4C-F6FA19A6AED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7" authorId="0" shapeId="0" xr:uid="{6F8DA37C-2695-487C-971C-95B0470142E2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5" authorId="0" shapeId="0" xr:uid="{BCFD5EBE-7F54-45F9-B3C1-C4C3CF53A1E6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3" authorId="0" shapeId="0" xr:uid="{36C32F4D-AC47-47EF-AAEB-7A96A313C6F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3" authorId="0" shapeId="0" xr:uid="{26BB8672-32B1-4C07-BCC5-DBA37545293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3" authorId="0" shapeId="0" xr:uid="{8338CC16-B136-415D-94AF-375863EFC0A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4" authorId="1" shapeId="0" xr:uid="{08F484ED-145A-4DD7-B0DD-9A57777FA78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6" authorId="0" shapeId="0" xr:uid="{159DA635-0CAA-46B1-A92A-49CDFCE47B0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0" shapeId="0" xr:uid="{9230F63D-4A45-4668-A0E2-598D1A114B9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6" authorId="0" shapeId="0" xr:uid="{37D3DF76-C22A-43E4-9CD5-786DF0B9A61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8" authorId="1" shapeId="0" xr:uid="{950A90CA-80E8-4447-A3F1-DC71E41CF6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4" authorId="1" shapeId="0" xr:uid="{0EF721D8-11FD-4768-BFA3-E28DC56E85F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0" authorId="1" shapeId="0" xr:uid="{7A118979-65D3-484B-BEF5-17A1C852AE1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88" authorId="1" shapeId="0" xr:uid="{FA9BC75D-ACC5-455B-948F-51061522FD5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0" shapeId="0" xr:uid="{1E03016B-2814-4A81-AA13-DF18C0A52FC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2" authorId="1" shapeId="0" xr:uid="{406E0D44-8C5E-4CB2-A80B-55831ACCC12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5" authorId="0" shapeId="0" xr:uid="{B5E09319-1BE1-4A9F-AC94-EF64F7995271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3BB5589F-55D5-4893-8565-9EC1CA7AA62A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7" authorId="0" shapeId="0" xr:uid="{1E6E0375-65F5-4F99-8DE3-7710A69EA4E5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<sst xmlns="http://schemas.openxmlformats.org/spreadsheetml/2006/main" count="1577" uniqueCount="572">
  <si>
    <t>PLANILHA DE CUSTOS E FORMAÇÃO DE PREÇOS</t>
  </si>
  <si>
    <t>Número do  Processo:</t>
  </si>
  <si>
    <t>Dia _____/_____/________  às ____:_____ horas</t>
  </si>
  <si>
    <t>A</t>
  </si>
  <si>
    <t>B</t>
  </si>
  <si>
    <t>C</t>
  </si>
  <si>
    <t>SERVENTE</t>
  </si>
  <si>
    <t>VALOR</t>
  </si>
  <si>
    <t>Alíquota</t>
  </si>
  <si>
    <t>DADOS REFERENTES A BENEFÍCIOS MENSAIS E DIÁRIOS</t>
  </si>
  <si>
    <t>Vale Transporte</t>
  </si>
  <si>
    <t>Nº de Bilhetes</t>
  </si>
  <si>
    <t>Valor da Tarifa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</si>
  <si>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</si>
  <si>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</si>
  <si>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</si>
  <si>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</si>
  <si>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</si>
  <si>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</si>
  <si>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</si>
  <si>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</si>
  <si>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</si>
  <si>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</si>
  <si>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</si>
  <si>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</si>
  <si>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</si>
  <si>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</si>
  <si>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Lucro Real</t>
  </si>
  <si>
    <t>Faturamento Anual</t>
  </si>
  <si>
    <t>PIS</t>
  </si>
  <si>
    <t>COFINS</t>
  </si>
  <si>
    <t>DADOS REFERENTES A CONVENÇÕES COLETIVAS DE TRABAHO</t>
  </si>
  <si>
    <t>CATEGORIA NA LICITAÇÃO</t>
  </si>
  <si>
    <t>MUNICÍPIO</t>
  </si>
  <si>
    <t>CCT</t>
  </si>
  <si>
    <t>CATEGORIA PROFISSIONAL</t>
  </si>
  <si>
    <t>ANO DE CELEBRAÇÃO</t>
  </si>
  <si>
    <t>DATA BASE</t>
  </si>
  <si>
    <t>PISO SALARIAL DA CATEGORIA</t>
  </si>
  <si>
    <t>Servente SEM Adicional</t>
  </si>
  <si>
    <t>Servente COM Adicional</t>
  </si>
  <si>
    <t>Áreas Internas</t>
  </si>
  <si>
    <t>Pisos acarpetados</t>
  </si>
  <si>
    <t>Pisos frios</t>
  </si>
  <si>
    <t>Laboratórios</t>
  </si>
  <si>
    <t>Almoxarifados/galpões</t>
  </si>
  <si>
    <t>Áreas com espaços livres – Saguão, hall e salão</t>
  </si>
  <si>
    <t>Banheiros Privados</t>
  </si>
  <si>
    <t>Áreas Externas</t>
  </si>
  <si>
    <t>Pisos pavimentados adjacentes/contíguos às edificações</t>
  </si>
  <si>
    <t>Varrição de passeios e arruamentos</t>
  </si>
  <si>
    <t>DRF-RJ2</t>
  </si>
  <si>
    <t>ARQUIVO PENHA</t>
  </si>
  <si>
    <t>ALF-GIG</t>
  </si>
  <si>
    <t>ALF-RJO</t>
  </si>
  <si>
    <t>ARQUIVO AV. VENEZUELA</t>
  </si>
  <si>
    <t>DEMAC</t>
  </si>
  <si>
    <t>Tipos de Área</t>
  </si>
  <si>
    <t>Quantidade Total de Serventes</t>
  </si>
  <si>
    <t>Soma da Quantidade de Serventes</t>
  </si>
  <si>
    <t>Quantidade de Profissionais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</si>
  <si>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</si>
  <si>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</si>
  <si>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</si>
  <si>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</si>
  <si>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</si>
  <si>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</si>
  <si>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</si>
  <si>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</si>
  <si>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</si>
  <si>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</si>
  <si>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</si>
  <si>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</si>
  <si>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</si>
  <si>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</si>
  <si>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</si>
  <si>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</si>
  <si>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</si>
  <si>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</si>
  <si>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</si>
  <si>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</si>
  <si>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</si>
  <si>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</si>
  <si>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</si>
  <si>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</si>
  <si>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</si>
  <si>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t>Outros Tributos Federais (especificar)</t>
  </si>
  <si>
    <t>Outros Tributos (especificar)</t>
  </si>
  <si>
    <t>Preço Homem-Mês</t>
  </si>
  <si>
    <t>Preço Homem-Mês/m2</t>
  </si>
  <si>
    <t>Preço Mensal Estimado do m2</t>
  </si>
  <si>
    <t>Àrea em m2</t>
  </si>
  <si>
    <t>Subtotal Mensal por Área</t>
  </si>
  <si>
    <t>VALOR TOTAL MENSAL DA ÁREA INTERNA</t>
  </si>
  <si>
    <t>VALOR TOTAL MENSAL DAS ESQUADRIAS INTERNAS E EXTERNAS SEM RISCO</t>
  </si>
  <si>
    <t>VALOR TOTAL MENSAL DA ÁREA EXTERNA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</si>
  <si>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</si>
  <si>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</si>
  <si>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</si>
  <si>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</si>
  <si>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</si>
  <si>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</si>
  <si>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</si>
  <si>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</si>
  <si>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</si>
  <si>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</si>
  <si>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</si>
  <si>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</si>
  <si>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</si>
  <si>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</si>
  <si>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</si>
  <si>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</si>
  <si>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</si>
  <si>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</si>
  <si>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</si>
  <si>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</si>
  <si>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</si>
  <si>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</si>
  <si>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</si>
  <si>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</si>
  <si>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</si>
  <si>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</si>
  <si>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</si>
  <si>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</si>
  <si>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</si>
  <si>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</si>
  <si>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</si>
  <si>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fardo com 100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</si>
  <si>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</si>
  <si>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</si>
  <si>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</si>
  <si>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</si>
  <si>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</si>
  <si>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INSTRUÇÕES PARA PREENCHIMENTO DA PLANILHAS</t>
  </si>
  <si>
    <t>Pátios e áreas verdes – baixa frequência</t>
  </si>
  <si>
    <t>Contratação de serviços de limpeza asseio e conservação, com fornecimento de material, utensílios e equipamentos, para as unidades jurisdicionadas à DRF-NIT</t>
  </si>
  <si>
    <t>DRF-NITERÓI</t>
  </si>
  <si>
    <t>ARF NOVA FRIBURGO</t>
  </si>
  <si>
    <t>ARF CABO FRIO</t>
  </si>
  <si>
    <t>ARF RIO BONITO</t>
  </si>
  <si>
    <t>ARF SÃO GONÇALO</t>
  </si>
  <si>
    <t>ARF STO ANTÔNIO DE PÁDUA</t>
  </si>
  <si>
    <t>ARF ITAPERUNA</t>
  </si>
  <si>
    <t>IRF CAMPOS DOS GOITACAZES</t>
  </si>
  <si>
    <t>IRF MACAÉ</t>
  </si>
  <si>
    <t>Banheiros Coletivos</t>
  </si>
  <si>
    <t>Pátios e áreas verdes – alta frequência</t>
  </si>
  <si>
    <t>PRODUTIVIDADE DE REFERÊNCIA</t>
  </si>
  <si>
    <t>NOVA Produtividade de Referência (m²) para 30 HORAS</t>
  </si>
  <si>
    <t>30 HORAS</t>
  </si>
  <si>
    <t>40 HORAS</t>
  </si>
  <si>
    <t>Quantidade de Profissionais - NOVA PRODUTIVIDADE DE REFERÊNCIA</t>
  </si>
  <si>
    <t>Quantidade de Profissionais - PRODUTIVIDADE Portaria RFB</t>
  </si>
  <si>
    <t>UNIDADES DA DRF-NITERÓI</t>
  </si>
  <si>
    <t>DRF-NIT</t>
  </si>
  <si>
    <t>ARF-NOVA FRIBURGO</t>
  </si>
  <si>
    <t>ARF-CABO FRIO</t>
  </si>
  <si>
    <t>ARF-RIO BONITO</t>
  </si>
  <si>
    <t>ARF-STO ANTÔNIO DE PÁDUA</t>
  </si>
  <si>
    <t>ARF-ITAPERUNA</t>
  </si>
  <si>
    <t>IRF-CAMPOS</t>
  </si>
  <si>
    <t>IRF-MACAÉ</t>
  </si>
  <si>
    <t>ARF-SÃO GONÇALO</t>
  </si>
  <si>
    <t>Contratação de serviços de limpeza asseio e conservação, com fornecimento de material, utensílios e equipamentos, para as unidades jurisdicionadas à Delegacia da Receita Federal do Brasil em Niterói (DRF-NIT)</t>
  </si>
  <si>
    <t>Cabo Frio</t>
  </si>
  <si>
    <t>Servente</t>
  </si>
  <si>
    <t>Itaperuna</t>
  </si>
  <si>
    <t>Niterói</t>
  </si>
  <si>
    <t>Nova Friburgo</t>
  </si>
  <si>
    <t>Santo Antônio de Pádua</t>
  </si>
  <si>
    <t>Rio Bonito</t>
  </si>
  <si>
    <t>São Gonçalo</t>
  </si>
  <si>
    <t>Campos dos Goitacazes</t>
  </si>
  <si>
    <t>Macaé</t>
  </si>
  <si>
    <t>NIterói</t>
  </si>
  <si>
    <t>1° de março</t>
  </si>
  <si>
    <t>Cidade</t>
  </si>
  <si>
    <t>Informações sobre Auxílio Alimentação</t>
  </si>
  <si>
    <t>Informações sobre Benefício Social Familiar</t>
  </si>
  <si>
    <t>Valor Descontado do Empregado</t>
  </si>
  <si>
    <t>S. Antônio de Pádua</t>
  </si>
  <si>
    <t>Campos</t>
  </si>
  <si>
    <t>ISSQN – Cabo Frio</t>
  </si>
  <si>
    <t>Total de Alíquotas de Tributos - Cabo Frio</t>
  </si>
  <si>
    <t>ISSQN – Itaperuna</t>
  </si>
  <si>
    <t>Total de Alíquotas de Tributos - Itaperuna</t>
  </si>
  <si>
    <t>ISSQN – Niterói</t>
  </si>
  <si>
    <t>Total de Alíquotas de Tributos - Niterói</t>
  </si>
  <si>
    <t>ISSQN – Nova Friburgo</t>
  </si>
  <si>
    <t>Total de Alíquotas de Tributos - Nova Friburgo</t>
  </si>
  <si>
    <t>ISSQN – Santo Antônio de Pádua</t>
  </si>
  <si>
    <t>Total de Alíquotas de Tributos - Santo Antônio de Pádua</t>
  </si>
  <si>
    <t>ISSQN – Rio Bonito</t>
  </si>
  <si>
    <t>Total de Alíquotas de Tributos - Rio Bonito</t>
  </si>
  <si>
    <t>ISSQN – São Gonçalo</t>
  </si>
  <si>
    <t>Total de Alíquotas de Tributos - São Gonçalo</t>
  </si>
  <si>
    <t>ISSQN – Campos</t>
  </si>
  <si>
    <t>Total de Alíquotas de Tributos - Campos</t>
  </si>
  <si>
    <t>ISSQN – Macaé</t>
  </si>
  <si>
    <t>Total de Alíquotas de Tributos - Macaé</t>
  </si>
  <si>
    <t>DADOS REFERENTES AOS SERVIÇOS EVENTUAIS</t>
  </si>
  <si>
    <t>ÁREA  (m²)</t>
  </si>
  <si>
    <t>VALOR UNITÁRIO DO SERVIÇO (R$)</t>
  </si>
  <si>
    <t>DADOS REFERENTES A TAXA DE ADMINISTRAÇÃO CENTRAL E DESPESAS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</si>
  <si>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</si>
  <si>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</si>
  <si>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</si>
  <si>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</si>
  <si>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INSS</t>
  </si>
  <si>
    <t>I - Impostos</t>
  </si>
  <si>
    <t>Sapato/tênis de segurança apropriado para faxina e limpeza, preto, com palmilha antibacteriana</t>
  </si>
  <si>
    <t>Crachá de Identificação com cordão personalizado</t>
  </si>
  <si>
    <t>DADOS REFERENTES À CONTRATAÇÃO E DISCRIMINAÇÃO DOS SERVIÇOS</t>
  </si>
  <si>
    <t>Município:</t>
  </si>
  <si>
    <t>Sindicatos Vinculados (CNPJ) OU CCT Registrada:</t>
  </si>
  <si>
    <t xml:space="preserve">Ano do Acordo, Convenção ou Sentença Normativa em Dissídio Coletivo: </t>
  </si>
  <si>
    <t>D</t>
  </si>
  <si>
    <t>Categoria profissional (vinculada a execução contratual):</t>
  </si>
  <si>
    <t>E</t>
  </si>
  <si>
    <t>Classificação Brasileira de Ocupações (CBO)</t>
  </si>
  <si>
    <t>5143-20</t>
  </si>
  <si>
    <t>F</t>
  </si>
  <si>
    <t>Data base da categoria:</t>
  </si>
  <si>
    <t>G</t>
  </si>
  <si>
    <t>Piso salarial da categoria:</t>
  </si>
  <si>
    <t>H</t>
  </si>
  <si>
    <t>I</t>
  </si>
  <si>
    <t>Unidade de medida:</t>
  </si>
  <si>
    <t>Metro quadrado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</si>
  <si>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</si>
  <si>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</si>
  <si>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</si>
  <si>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</si>
  <si>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</si>
  <si>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</si>
  <si>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</si>
  <si>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</si>
  <si>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</si>
  <si>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</si>
  <si>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</si>
  <si>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</si>
  <si>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</si>
  <si>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</si>
  <si>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</si>
  <si>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</si>
  <si>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FGTS</t>
  </si>
  <si>
    <t>TOTAL Submódulo 2.2</t>
  </si>
  <si>
    <t>Submódulo 2.3 - Benefícios Mensais e Diários</t>
  </si>
  <si>
    <t>Ticket Alimentação/Refeição</t>
  </si>
  <si>
    <t>TOTAL Submódulo 2.3</t>
  </si>
  <si>
    <t>TOTAL - MÓDULO 2 - ENCARGOS E BENEFÍCIOS ANUAIS, MENSAIS E DIÁRIOS</t>
  </si>
  <si>
    <t>MÓDULO 3 - PROVISÃO PARA RESCISÃO</t>
  </si>
  <si>
    <t>Aviso Prévio Indenizado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</si>
  <si>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</si>
  <si>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</si>
  <si>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</si>
  <si>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</si>
  <si>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</si>
  <si>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Ausência justificada</t>
  </si>
  <si>
    <t>Incidência percentual anual</t>
  </si>
  <si>
    <t>Proporção de dias afetados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</si>
  <si>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</si>
  <si>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</si>
  <si>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</si>
  <si>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</si>
  <si>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</si>
  <si>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</si>
  <si>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</si>
  <si>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</si>
  <si>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</si>
  <si>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</si>
  <si>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</si>
  <si>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</si>
  <si>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</si>
  <si>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Alistamento Eleitoral</t>
  </si>
  <si>
    <t xml:space="preserve">M </t>
  </si>
  <si>
    <t>Outros, se houver (Especificar)</t>
  </si>
  <si>
    <t>Subtotal do Submódulo 4.1</t>
  </si>
  <si>
    <t>N</t>
  </si>
  <si>
    <t>Incidência do Submódulo 2.2 sobre o Submódulo 4.1</t>
  </si>
  <si>
    <t>O</t>
  </si>
  <si>
    <t xml:space="preserve">Férias   </t>
  </si>
  <si>
    <t>P</t>
  </si>
  <si>
    <t>Incidência do Submódulo 2.2 sobre Férias, 1/3 de Férias e 13º Salário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</si>
  <si>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</si>
  <si>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</si>
  <si>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</si>
  <si>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</si>
  <si>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</si>
  <si>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</si>
  <si>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</si>
  <si>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</si>
  <si>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Insumos e Material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</si>
  <si>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</si>
  <si>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</si>
  <si>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</si>
  <si>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</si>
  <si>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</si>
  <si>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</si>
  <si>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</si>
  <si>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</si>
  <si>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de tributos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</si>
  <si>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</si>
  <si>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</si>
  <si>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</si>
  <si>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</si>
  <si>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</si>
  <si>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</si>
  <si>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</si>
  <si>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</si>
  <si>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VALOR MENSAL TOTAL POR EMPREGADO</t>
  </si>
  <si>
    <t>Adicional Liderança de Equipe</t>
  </si>
  <si>
    <t>Benefício Social Familiar</t>
  </si>
  <si>
    <t>QUADRO RESUMO - LIMPEZA</t>
  </si>
  <si>
    <t>SERVIÇO DE LIMPEZA E CONSERVAÇÃO COM DEDICAÇÃO EXCLUSIVA DE MÃO DE OBRA</t>
  </si>
  <si>
    <t>VALOR ESTIMADO MENSAL DO PRÉDIO</t>
  </si>
  <si>
    <t>VALOR ESTIMADO MENSAL DA UNIDADE</t>
  </si>
  <si>
    <t>Acréscimo Mensal do Líder de Turma</t>
  </si>
  <si>
    <t>GRUPO 1</t>
  </si>
  <si>
    <t>ITEM 1</t>
  </si>
  <si>
    <t>VALOR TOTAL MENSAL DO SERVIÇO DE LIMPEZA (ITEM 1)</t>
  </si>
  <si>
    <t>rolo com 600 panos</t>
  </si>
  <si>
    <t>Refil para MOP</t>
  </si>
  <si>
    <t>lata de 360 ml</t>
  </si>
  <si>
    <t>EQUIPAMENTOS</t>
  </si>
  <si>
    <t>frasco de 500 ml</t>
  </si>
  <si>
    <t>Papel higienico rolo grande 10cm x 200m (100% celulose virgem)</t>
  </si>
  <si>
    <t>Pacote com 2.000 fls</t>
  </si>
  <si>
    <t>frasco de 400 ml</t>
  </si>
  <si>
    <t>QUANTIDADE A SER FORNECIDA</t>
  </si>
  <si>
    <t>QUANTIDADE TOTAL DE EMPREGADOS</t>
  </si>
  <si>
    <t>VALOR MENSAL A SER DEPRECIADO</t>
  </si>
  <si>
    <t>VALOR TOTAL MENSAL A SER DEPRECIADO</t>
  </si>
  <si>
    <t>frasco de 300 ml</t>
  </si>
  <si>
    <t>Equipamentos</t>
  </si>
  <si>
    <t>Jaqueta Forrada para Inverno, com emblema da empresa</t>
  </si>
  <si>
    <t>Bata de limpeza, com emblema da empresa</t>
  </si>
  <si>
    <t>10707.720194-2025-26</t>
  </si>
  <si>
    <t>Esquadrias Externas sem exposição à risco</t>
  </si>
  <si>
    <t>Face INTERNA SEM exposição à situação de risco</t>
  </si>
  <si>
    <t>Face EXTERNA SEM exposição à situação de risco</t>
  </si>
  <si>
    <t>Duração Legal da Ausência no período de execução contratual</t>
  </si>
  <si>
    <t>VALOR TOTAL PARA TODO O PERÍODO CONTRATUAL</t>
  </si>
  <si>
    <t>VALOR ESTIMADO PARA O PERÍODO CONTRATUAL POR PRÉDIO</t>
  </si>
  <si>
    <t>VALOR ESTIMADO PARA O PERÍODO CONTRATUAL DA UNIDADE</t>
  </si>
  <si>
    <t>VALOR ESTIMADO PARA O PERÍODO CONTRATUAL DO ITEM 1</t>
  </si>
  <si>
    <t>VALOR TOTAL NO PERÍODO CONTRATUAL (R$)</t>
  </si>
  <si>
    <t>QUANTIDADE MÁXIMA DO SERVIÇO NO PERÍODO CONTRATUAL</t>
  </si>
  <si>
    <t>Duração Legal da Ausência no período contratual</t>
  </si>
  <si>
    <t>Período Contratual (meses):</t>
  </si>
  <si>
    <t>VALOR TOTAL DOS SERVIÇOS EVENTUAIS PARA O PERÍODO CONTRATUAL</t>
  </si>
  <si>
    <t xml:space="preserve">Salário Base </t>
  </si>
  <si>
    <t>SERVIÇOS EVENTUAIS DE PODA, CAPINA E ROÇADA</t>
  </si>
  <si>
    <t>ÁREA</t>
  </si>
  <si>
    <t>PREÇO UNITÁRIO PROPOSTO PARA O SERVIÇO</t>
  </si>
  <si>
    <t>PREÇO UNITÁRIO DO SERVIÇO COM A TAXA DE ADMINISTRAÇÃO</t>
  </si>
  <si>
    <t>PREÇO DO M² DO SERVIÇO ANTES DA TAXA DE ADMINISTRAÇÃO CENTRAL E DESPESAS</t>
  </si>
  <si>
    <t>QUANTIDADE MÁXIMA DE SERVIÇO NO PERÍODO CONTRATUAL</t>
  </si>
  <si>
    <t>VALOR ESTIMADO TOTAL PARA O PERÍODO CONTRATUAL DO ITEM</t>
  </si>
  <si>
    <t>Período Contratual (em meses)</t>
  </si>
  <si>
    <t>Dia __/__/2025  às ____:_____ horas</t>
  </si>
  <si>
    <t>RJ001173-2025</t>
  </si>
  <si>
    <t>RJ001105-2025</t>
  </si>
  <si>
    <t>RJ001273-2025</t>
  </si>
  <si>
    <t>RJ001253-2025</t>
  </si>
  <si>
    <t>DESCRIÇÃO</t>
  </si>
  <si>
    <t>M1</t>
  </si>
  <si>
    <t>M2</t>
  </si>
  <si>
    <t>Álcool para limpeza 46%</t>
  </si>
  <si>
    <t>M3</t>
  </si>
  <si>
    <t>Álcool Gel anti-séptico 70%</t>
  </si>
  <si>
    <t>M4</t>
  </si>
  <si>
    <t>Balde de plástico polipropileno de 10 Litros com alça plástica anatômica</t>
  </si>
  <si>
    <t>M5</t>
  </si>
  <si>
    <t>M6</t>
  </si>
  <si>
    <t>Cera Líquida Incolor para Piso</t>
  </si>
  <si>
    <t>M7</t>
  </si>
  <si>
    <t>Desentupidor de Pia</t>
  </si>
  <si>
    <t>M8</t>
  </si>
  <si>
    <t>Desentupidor de Vaso Sanitário, cabo longo</t>
  </si>
  <si>
    <t>M9</t>
  </si>
  <si>
    <t>Desinfetante de Uso Geral Concentrado</t>
  </si>
  <si>
    <t>M10</t>
  </si>
  <si>
    <t>Desodorizador/Aromatizador de ar em spray</t>
  </si>
  <si>
    <t>M11</t>
  </si>
  <si>
    <t>Detergente Concentrado para Limpeza Geral</t>
  </si>
  <si>
    <t>M12</t>
  </si>
  <si>
    <t>Detergente Neutro Líquido</t>
  </si>
  <si>
    <t>M13</t>
  </si>
  <si>
    <t>Disco para Enceradeira 350mm – cor verde/preta</t>
  </si>
  <si>
    <t>M14</t>
  </si>
  <si>
    <t>Escova de Cerdas para Enceradeira</t>
  </si>
  <si>
    <t>M15</t>
  </si>
  <si>
    <t>Escova de Mão para Tanque, cerda de nylon e base de madeira (escova de limpeza geral)</t>
  </si>
  <si>
    <t>M16</t>
  </si>
  <si>
    <t>Escova para vaso sanitário com suporte</t>
  </si>
  <si>
    <t>M17</t>
  </si>
  <si>
    <t>Espanador de Pó</t>
  </si>
  <si>
    <t>M18</t>
  </si>
  <si>
    <t>Espanador de Teto</t>
  </si>
  <si>
    <t>M19</t>
  </si>
  <si>
    <t>Esponja de Lã de Aço</t>
  </si>
  <si>
    <t>M20</t>
  </si>
  <si>
    <t>Esponja Multiuso Dupla Face</t>
  </si>
  <si>
    <t>M21</t>
  </si>
  <si>
    <t>Estopa</t>
  </si>
  <si>
    <t>M22</t>
  </si>
  <si>
    <t>Extensão de Alumínio até 6 m para Limpeza de Vidros</t>
  </si>
  <si>
    <t>M23</t>
  </si>
  <si>
    <t>M24</t>
  </si>
  <si>
    <t>Gel Sanitário Adesivo</t>
  </si>
  <si>
    <t>embalagem com 6 unidades + aplicador</t>
  </si>
  <si>
    <t>M25</t>
  </si>
  <si>
    <t>Inseticida Aerossol Inodoro, à base d'água, elimina mosquito da zika e da dengue</t>
  </si>
  <si>
    <t>M26</t>
  </si>
  <si>
    <t>Limpa Inox para Elevador</t>
  </si>
  <si>
    <t>M27</t>
  </si>
  <si>
    <t>Limpa Vidros Concentrado</t>
  </si>
  <si>
    <t>500ml</t>
  </si>
  <si>
    <t>M28</t>
  </si>
  <si>
    <t>Limpador Multiuso (para limpeza de móveis e equipamentos em geral)</t>
  </si>
  <si>
    <t>M29</t>
  </si>
  <si>
    <t>M30</t>
  </si>
  <si>
    <t>M31</t>
  </si>
  <si>
    <t>Lustra Móveis</t>
  </si>
  <si>
    <t>M32</t>
  </si>
  <si>
    <t>Luva de Látex Natural Forrada</t>
  </si>
  <si>
    <t>M33</t>
  </si>
  <si>
    <t>Pá Coletora Articulada, com cabo longo</t>
  </si>
  <si>
    <t>M34</t>
  </si>
  <si>
    <t>Pano de Limpeza tipo Saco, duplo, lavado e alvejado, forte, grosso, com alta absorção, 100 % algodão, de 1 ª qualidade. Medidas: mínimo de 42 cm x 65 cm.</t>
  </si>
  <si>
    <t>M35</t>
  </si>
  <si>
    <t>Pano de Prato Liso branco, com alta absorção, 100% algodão, de 1ª qualidade. Medidas: mínimo de 40 cm x 60 cm.</t>
  </si>
  <si>
    <t>M36</t>
  </si>
  <si>
    <t>Pano Multiuso 28cm x 50cm x 300</t>
  </si>
  <si>
    <t>M37</t>
  </si>
  <si>
    <t>Papel Higiênico Branco, folha dupla, rolo normal de 10cm x 30m, de alta qualidade e absorção</t>
  </si>
  <si>
    <t>M38</t>
  </si>
  <si>
    <t>M39</t>
  </si>
  <si>
    <t>Papel Toalha Interfolha 20 x 20cm (100% celulose virgem)</t>
  </si>
  <si>
    <t>M40</t>
  </si>
  <si>
    <t>Polidor de Metais</t>
  </si>
  <si>
    <t>lata de 200 ml</t>
  </si>
  <si>
    <t>M41</t>
  </si>
  <si>
    <t>Limpador para Aço Inoxidável</t>
  </si>
  <si>
    <t>M42</t>
  </si>
  <si>
    <t>M43</t>
  </si>
  <si>
    <t>Rodinho para Pia</t>
  </si>
  <si>
    <t>M44</t>
  </si>
  <si>
    <t>Rodo com Duas Borrachas 40 cm com cabo, para limpeza geral</t>
  </si>
  <si>
    <t>M45</t>
  </si>
  <si>
    <t>Rodo Específico para Limpeza de Vidros, medida mínima 40cm</t>
  </si>
  <si>
    <t>M46</t>
  </si>
  <si>
    <t>M47</t>
  </si>
  <si>
    <t>Sabonete Líquido</t>
  </si>
  <si>
    <t>M48</t>
  </si>
  <si>
    <t>M49</t>
  </si>
  <si>
    <t>M50</t>
  </si>
  <si>
    <t>M51</t>
  </si>
  <si>
    <t>M52</t>
  </si>
  <si>
    <t>Vaselina para Limpeza de Elevadores</t>
  </si>
  <si>
    <t>M53</t>
  </si>
  <si>
    <t>Vassoura de Gari</t>
  </si>
  <si>
    <t>M54</t>
  </si>
  <si>
    <t>Vassoura de Nylon - 30CM</t>
  </si>
  <si>
    <t>M55</t>
  </si>
  <si>
    <t>Vassoura de Pelo</t>
  </si>
  <si>
    <t>M56</t>
  </si>
  <si>
    <t>Vassoura de Piaçava com cabo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</si>
  <si>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</si>
  <si>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</si>
  <si>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</si>
  <si>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</si>
  <si>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</si>
  <si>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</si>
  <si>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</si>
  <si>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</si>
  <si>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</si>
  <si>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</si>
  <si>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</si>
  <si>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</si>
  <si>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</si>
  <si>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</si>
  <si>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</si>
  <si>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</si>
  <si>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</si>
  <si>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</si>
  <si>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</si>
  <si>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</si>
  <si>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</si>
  <si>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</si>
  <si>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</si>
  <si>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</si>
  <si>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</si>
  <si>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</si>
  <si>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</si>
  <si>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</si>
  <si>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</si>
  <si>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</si>
  <si>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</si>
  <si>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1 condução de ida e 1 condução de volta. Esta quantidade deve ser mantida.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</si>
  <si>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</si>
  <si>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</si>
  <si>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</si>
  <si>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Informações sobre Vale Transporte </t>
    </r>
    <r>
      <rPr>
        <b/>
        <sz val="8"/>
        <color rgb="FFFF0000"/>
        <rFont val="Candara"/>
        <family val="2"/>
      </rPr>
      <t>(a empresa só deve cotar 2 tarifas se essa for a realidade do colaborador contratado)</t>
    </r>
  </si>
  <si>
    <r>
      <t xml:space="preserve">Valor do Auxílio </t>
    </r>
    <r>
      <rPr>
        <sz val="8"/>
        <color rgb="FFFF0000"/>
        <rFont val="Candara"/>
        <family val="2"/>
      </rPr>
      <t>(O valor do auxílio deve ser no mínimo o mesmo estabelecido nesta planilha, independente de ser esta a CCT usada pela empresa. Veja o subitem 7.10 do Edital).</t>
    </r>
  </si>
  <si>
    <r>
      <t xml:space="preserve">Valor do Auxílio </t>
    </r>
    <r>
      <rPr>
        <sz val="8"/>
        <color rgb="FFFF0000"/>
        <rFont val="Candara"/>
        <family val="2"/>
      </rPr>
      <t>(O valro do auxílio deve ser no mínimo o mesmo estabelecido nesta planilha, independente de ser esta a CCT usada pela empresa. Veja o subitem 7.10 do Edital).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</si>
  <si>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</si>
  <si>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t>VALOR MENSAL DE EQUIPAMENTOS POR EMPREGADO</t>
  </si>
  <si>
    <r>
      <t xml:space="preserve">PREÇO DO M² DO SERVIÇO APÓS A TAXA DE ADMINISTRAÇÃO </t>
    </r>
    <r>
      <rPr>
        <b/>
        <sz val="10"/>
        <color theme="7" tint="0.39997558519241921"/>
        <rFont val="Candara"/>
        <family val="2"/>
      </rPr>
      <t>(é este o valor que a empresa deverá lançar no sistema como valor unitário)</t>
    </r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</si>
  <si>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</si>
  <si>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</si>
  <si>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</si>
  <si>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</si>
  <si>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t xml:space="preserve">Adicional de Insalubridade 40% do Salário Base </t>
    </r>
    <r>
      <rPr>
        <sz val="10"/>
        <color rgb="FFFF0000"/>
        <rFont val="Candara"/>
        <family val="2"/>
      </rPr>
      <t>(Portaria RFB 1502/2021 c/c art.192 CLT)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</si>
  <si>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67)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</si>
  <si>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69).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</si>
  <si>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</si>
  <si>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t xml:space="preserve">Salário Base </t>
    </r>
    <r>
      <rPr>
        <sz val="8"/>
        <color rgb="FFFF0000"/>
        <rFont val="Candara"/>
        <family val="2"/>
      </rPr>
      <t>(O salário base deve ser no mínimo o mesmo estabelecido nesta planilha, independente de ser esta a CCT usada pela empresa. Veja o subitem 7.10 do Edital).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</si>
  <si>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de execução contratual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</si>
  <si>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</si>
  <si>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</si>
  <si>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</si>
  <si>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</si>
  <si>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rPr>
        <b/>
        <sz val="10"/>
        <color theme="1"/>
        <rFont val="Candara"/>
        <family val="2"/>
      </rPr>
      <t>NOVA FRIBURGO</t>
    </r>
    <r>
      <rPr>
        <sz val="10"/>
        <color theme="1"/>
        <rFont val="Candara"/>
        <family val="2"/>
      </rPr>
      <t xml:space="preserve">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</si>
  <si>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color theme="1"/>
        <rFont val="Candara"/>
        <family val="2"/>
      </rPr>
      <t xml:space="preserve">CABO FRIO                            </t>
    </r>
    <r>
      <rPr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</si>
  <si>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RIO BONITO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</si>
  <si>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SÃO GONÇALO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</si>
  <si>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STO ANTÔNIO DE PÁDUA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</si>
  <si>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ITAPERUNA                    </t>
    </r>
    <r>
      <rPr>
        <b/>
        <sz val="10"/>
        <color rgb="FFFF0000"/>
        <rFont val="Candara"/>
        <family val="2"/>
      </rPr>
      <t xml:space="preserve">     6 horas diárias</t>
    </r>
  </si>
  <si>
    <r>
      <rPr>
        <b/>
        <sz val="10"/>
        <rFont val="Candara"/>
        <family val="2"/>
      </rPr>
      <t>NITERÓI</t>
    </r>
    <r>
      <rPr>
        <sz val="10"/>
        <rFont val="Candara"/>
        <family val="2"/>
      </rPr>
      <t xml:space="preserve">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</si>
  <si>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rFont val="Candara"/>
        <family val="2"/>
      </rPr>
      <t>NITERÓI - LÍDER DE TURMA</t>
    </r>
    <r>
      <rPr>
        <sz val="10"/>
        <rFont val="Candara"/>
        <family val="2"/>
      </rPr>
      <t xml:space="preserve">                               </t>
    </r>
    <r>
      <rPr>
        <b/>
        <sz val="10"/>
        <rFont val="Candara"/>
        <family val="2"/>
      </rPr>
      <t>8,8 horas diárias</t>
    </r>
  </si>
  <si>
    <t>CAMPOS DOS GOITACAZES        8,8 horas diárias</t>
  </si>
  <si>
    <r>
      <rPr>
        <b/>
        <sz val="10"/>
        <rFont val="Candara"/>
        <family val="2"/>
      </rPr>
      <t>MACAÉ</t>
    </r>
    <r>
      <rPr>
        <sz val="10"/>
        <rFont val="Candara"/>
        <family val="2"/>
      </rPr>
      <t xml:space="preserve">                            </t>
    </r>
    <r>
      <rPr>
        <b/>
        <sz val="10"/>
        <rFont val="Candara"/>
        <family val="2"/>
      </rPr>
      <t>8,8 horas diárias</t>
    </r>
  </si>
  <si>
    <t>CAMPOS DOS GOITACAZES    8,8 horas diárias</t>
  </si>
  <si>
    <r>
      <rPr>
        <b/>
        <sz val="10"/>
        <rFont val="Candara"/>
        <family val="2"/>
      </rPr>
      <t>MACAÉ</t>
    </r>
    <r>
      <rPr>
        <sz val="10"/>
        <rFont val="Candara"/>
        <family val="2"/>
      </rPr>
      <t xml:space="preserve">                       </t>
    </r>
    <r>
      <rPr>
        <b/>
        <sz val="10"/>
        <rFont val="Candara"/>
        <family val="2"/>
      </rPr>
      <t>8,8 horas diárias</t>
    </r>
  </si>
  <si>
    <t>OUTROS TRIBUTOS FEDERAIS</t>
  </si>
  <si>
    <t>OUTROS TRIBUTOS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</si>
  <si>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</si>
  <si>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</si>
  <si>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</si>
  <si>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</si>
  <si>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</si>
  <si>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</si>
  <si>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</si>
  <si>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</si>
  <si>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</si>
  <si>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</si>
  <si>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</si>
  <si>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</si>
  <si>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</si>
  <si>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</si>
  <si>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</si>
  <si>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</si>
  <si>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</si>
  <si>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</si>
  <si>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</si>
  <si>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</si>
  <si>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</si>
  <si>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</si>
  <si>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Fragmentadora de 200 (duzentos) litros, super-resistente</t>
  </si>
  <si>
    <t>M57</t>
  </si>
  <si>
    <t>M58</t>
  </si>
  <si>
    <t>M59</t>
  </si>
  <si>
    <t>M60</t>
  </si>
  <si>
    <t>M61</t>
  </si>
  <si>
    <t>M62</t>
  </si>
  <si>
    <t>M63</t>
  </si>
  <si>
    <t>Saco Plástico para Lixeira de 100 (cem) litros, ultra reforçado – cor padrão para reciclagem de resíduos.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</si>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</sst>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&quot;\ #,##0.00"/>
    <numFmt numFmtId="166" formatCode="&quot;R$ &quot;#,##0.00"/>
    <numFmt numFmtId="167" formatCode="0.000%"/>
    <numFmt numFmtId="168" formatCode="&quot; R$ &quot;* #,##0.00\ ;&quot;-R$ &quot;* #,##0.00\ ;&quot; R$ &quot;* \-#\ ;@\ "/>
    <numFmt numFmtId="169" formatCode="_-* #,##0_-;\-* #,##0_-;_-* &quot;-&quot;??_-;_-@_-"/>
    <numFmt numFmtId="170" formatCode="#,##0.0000"/>
    <numFmt numFmtId="171" formatCode="#,##0_ ;\-#,##0\ "/>
    <numFmt numFmtId="172" formatCode="&quot;R$&quot;\ #,##0.00000"/>
    <numFmt numFmtId="173" formatCode="&quot;R$&quot;\ #,##0.0000"/>
  </numFmts>
  <fonts count="55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b/>
      <sz val="12"/>
      <color rgb="FF000000"/>
      <name val="Candara"/>
      <family val="2"/>
    </font>
    <font>
      <sz val="12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sz val="12"/>
      <color rgb="FF000000"/>
      <name val="Candara"/>
      <family val="2"/>
    </font>
    <font>
      <b/>
      <sz val="10"/>
      <color rgb="FF000000"/>
      <name val="Candara"/>
      <family val="2"/>
    </font>
    <font>
      <sz val="10"/>
      <name val="Candara"/>
      <family val="2"/>
    </font>
    <font>
      <b/>
      <sz val="12"/>
      <color theme="1"/>
      <name val="Candara"/>
      <family val="2"/>
    </font>
    <font>
      <b/>
      <sz val="10"/>
      <color theme="1"/>
      <name val="Candara"/>
      <family val="2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b/>
      <sz val="10"/>
      <color theme="0"/>
      <name val="Candara"/>
      <family val="2"/>
    </font>
    <font>
      <b/>
      <sz val="11"/>
      <color rgb="FF000000"/>
      <name val="Candara"/>
      <family val="2"/>
    </font>
    <font>
      <b/>
      <sz val="8"/>
      <color rgb="FFFF0000"/>
      <name val="Candara"/>
      <family val="2"/>
    </font>
    <font>
      <sz val="8"/>
      <color rgb="FFFF0000"/>
      <name val="Candara"/>
      <family val="2"/>
    </font>
    <font>
      <sz val="9"/>
      <color rgb="FFFF0000"/>
      <name val="Candara"/>
      <family val="2"/>
    </font>
    <font>
      <b/>
      <sz val="11"/>
      <color theme="1"/>
      <name val="Candara"/>
      <family val="2"/>
    </font>
    <font>
      <sz val="8"/>
      <color theme="1"/>
      <name val="Candara"/>
      <family val="2"/>
    </font>
    <font>
      <b/>
      <sz val="10"/>
      <color theme="7" tint="0.39997558519241921"/>
      <name val="Candara"/>
      <family val="2"/>
    </font>
    <font>
      <b/>
      <sz val="10"/>
      <name val="Candara"/>
      <family val="2"/>
    </font>
    <font>
      <b/>
      <sz val="14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sz val="10"/>
      <color theme="1" tint="4.9989318521683403E-2"/>
      <name val="Candara"/>
      <family val="2"/>
    </font>
    <font>
      <b/>
      <sz val="10"/>
      <color theme="1" tint="4.9989318521683403E-2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1"/>
      <color theme="0"/>
      <name val="Candara"/>
      <family val="2"/>
    </font>
    <font>
      <b/>
      <sz val="14"/>
      <color rgb="FFFFFFFF"/>
      <name val="Candara"/>
      <family val="2"/>
    </font>
    <font>
      <b/>
      <sz val="14"/>
      <color theme="0"/>
      <name val="Candara"/>
      <family val="2"/>
    </font>
    <font>
      <b/>
      <sz val="10"/>
      <color rgb="FF0D0D0D"/>
      <name val="Candara"/>
      <family val="2"/>
    </font>
    <font>
      <sz val="11"/>
      <color theme="0"/>
      <name val="Candara"/>
      <family val="2"/>
    </font>
    <font>
      <b/>
      <sz val="10"/>
      <color rgb="FF0000FF"/>
      <name val="Candara"/>
      <family val="2"/>
    </font>
  </fonts>
  <fills count="53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8E9CD"/>
        <bgColor rgb="FFD8E9CD"/>
      </patternFill>
    </fill>
    <fill>
      <patternFill patternType="solid">
        <fgColor rgb="FFD9D9D9"/>
        <bgColor rgb="FFDDDDD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4" tint="0.39997558519241921"/>
        <bgColor rgb="FFBF9000"/>
      </patternFill>
    </fill>
    <fill>
      <patternFill patternType="solid">
        <fgColor rgb="FFFFCCCC"/>
        <bgColor rgb="FFBF9000"/>
      </patternFill>
    </fill>
    <fill>
      <patternFill patternType="solid">
        <fgColor rgb="FF66FFCC"/>
        <bgColor rgb="FFBF9000"/>
      </patternFill>
    </fill>
    <fill>
      <patternFill patternType="solid">
        <fgColor rgb="FFFFFFCC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indexed="9"/>
        <bgColor indexed="26"/>
      </patternFill>
    </fill>
    <fill>
      <patternFill patternType="solid">
        <fgColor rgb="FF808080"/>
        <bgColor rgb="FF666666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rgb="FF000066"/>
        <bgColor rgb="FF333F5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2060"/>
        <bgColor rgb="FFEAD6E2"/>
      </patternFill>
    </fill>
    <fill>
      <patternFill patternType="solid">
        <fgColor rgb="FF002060"/>
        <bgColor rgb="FF0000FF"/>
      </patternFill>
    </fill>
    <fill>
      <patternFill patternType="solid">
        <fgColor rgb="FF002060"/>
        <bgColor rgb="FF333F5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8E9CD"/>
      </patternFill>
    </fill>
    <fill>
      <patternFill patternType="solid">
        <fgColor theme="2" tint="-0.249977111117893"/>
        <bgColor rgb="FFE2F0D9"/>
      </patternFill>
    </fill>
    <fill>
      <patternFill patternType="solid">
        <fgColor rgb="FF000066"/>
        <bgColor rgb="FFEAD6E2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7" fillId="0" borderId="0"/>
  </cellStyleXfs>
  <cellXfs count="921">
    <xf numFmtId="0" fontId="0" fillId="0" borderId="0" xfId="0"/>
    <xf numFmtId="0" fontId="2" fillId="0" borderId="0" xfId="0" applyFont="1"/>
    <xf numFmtId="0" fontId="7" fillId="9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/>
    <xf numFmtId="168" fontId="10" fillId="0" borderId="1" xfId="0" applyNumberFormat="1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10" fontId="13" fillId="0" borderId="0" xfId="0" applyNumberFormat="1" applyFont="1"/>
    <xf numFmtId="165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49" xfId="0" applyFont="1" applyBorder="1" applyAlignment="1">
      <alignment horizontal="right" vertical="center"/>
    </xf>
    <xf numFmtId="0" fontId="3" fillId="0" borderId="49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1" fontId="11" fillId="0" borderId="50" xfId="0" applyNumberFormat="1" applyFont="1" applyBorder="1" applyAlignment="1">
      <alignment horizontal="center"/>
    </xf>
    <xf numFmtId="1" fontId="11" fillId="0" borderId="51" xfId="0" applyNumberFormat="1" applyFont="1" applyBorder="1" applyAlignment="1">
      <alignment horizontal="center"/>
    </xf>
    <xf numFmtId="1" fontId="11" fillId="0" borderId="5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right" vertical="center"/>
    </xf>
    <xf numFmtId="1" fontId="11" fillId="0" borderId="52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/>
    <xf numFmtId="10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" fillId="0" borderId="5" xfId="0" applyFont="1" applyBorder="1"/>
    <xf numFmtId="0" fontId="21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20" fillId="0" borderId="63" xfId="0" applyFont="1" applyBorder="1" applyAlignment="1">
      <alignment horizontal="center" vertical="center"/>
    </xf>
    <xf numFmtId="0" fontId="21" fillId="20" borderId="63" xfId="0" applyFont="1" applyFill="1" applyBorder="1" applyAlignment="1">
      <alignment horizontal="justify" vertical="center" wrapText="1"/>
    </xf>
    <xf numFmtId="0" fontId="21" fillId="21" borderId="6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20" fillId="39" borderId="63" xfId="0" applyFont="1" applyFill="1" applyBorder="1" applyAlignment="1">
      <alignment horizontal="center" vertical="center"/>
    </xf>
    <xf numFmtId="0" fontId="21" fillId="0" borderId="63" xfId="0" applyFont="1" applyBorder="1" applyAlignment="1">
      <alignment horizontal="justify" vertical="center" wrapText="1"/>
    </xf>
    <xf numFmtId="0" fontId="21" fillId="0" borderId="63" xfId="3" applyFont="1" applyBorder="1" applyAlignment="1">
      <alignment horizontal="justify" vertical="center" wrapText="1"/>
    </xf>
    <xf numFmtId="0" fontId="21" fillId="0" borderId="63" xfId="3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0" fillId="0" borderId="63" xfId="0" applyFont="1" applyBorder="1" applyAlignment="1">
      <alignment vertical="center" wrapText="1"/>
    </xf>
    <xf numFmtId="0" fontId="20" fillId="0" borderId="63" xfId="0" applyFont="1" applyBorder="1" applyAlignment="1">
      <alignment horizontal="left" vertical="center"/>
    </xf>
    <xf numFmtId="0" fontId="24" fillId="0" borderId="63" xfId="0" applyFont="1" applyBorder="1" applyAlignment="1">
      <alignment horizontal="justify" vertical="center" wrapText="1"/>
    </xf>
    <xf numFmtId="0" fontId="24" fillId="0" borderId="63" xfId="0" applyFont="1" applyBorder="1" applyAlignment="1">
      <alignment horizontal="center" vertical="center" wrapText="1"/>
    </xf>
    <xf numFmtId="0" fontId="21" fillId="39" borderId="63" xfId="0" applyFont="1" applyFill="1" applyBorder="1" applyAlignment="1">
      <alignment horizontal="center" vertical="center" wrapText="1"/>
    </xf>
    <xf numFmtId="0" fontId="21" fillId="39" borderId="63" xfId="0" applyFont="1" applyFill="1" applyBorder="1" applyAlignment="1">
      <alignment horizontal="justify" vertical="center" wrapText="1"/>
    </xf>
    <xf numFmtId="165" fontId="25" fillId="14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1" fillId="21" borderId="63" xfId="0" applyFont="1" applyFill="1" applyBorder="1" applyAlignment="1">
      <alignment horizontal="center" vertical="center"/>
    </xf>
    <xf numFmtId="0" fontId="21" fillId="0" borderId="63" xfId="0" applyFont="1" applyBorder="1" applyAlignment="1">
      <alignment vertical="center" wrapText="1"/>
    </xf>
    <xf numFmtId="165" fontId="27" fillId="40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/>
    <xf numFmtId="0" fontId="28" fillId="0" borderId="0" xfId="0" applyFont="1"/>
    <xf numFmtId="0" fontId="18" fillId="0" borderId="0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Alignment="1"/>
    <xf numFmtId="0" fontId="30" fillId="16" borderId="9" xfId="0" applyFont="1" applyFill="1" applyBorder="1" applyAlignment="1">
      <alignment vertical="center"/>
    </xf>
    <xf numFmtId="0" fontId="30" fillId="16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165" fontId="21" fillId="0" borderId="8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0" fontId="21" fillId="0" borderId="43" xfId="0" applyFont="1" applyBorder="1" applyAlignment="1">
      <alignment vertical="center"/>
    </xf>
    <xf numFmtId="0" fontId="21" fillId="0" borderId="4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43" xfId="0" applyFont="1" applyBorder="1" applyAlignment="1">
      <alignment horizontal="left" vertical="center"/>
    </xf>
    <xf numFmtId="0" fontId="21" fillId="0" borderId="4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65" fontId="21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10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20" fillId="0" borderId="38" xfId="0" applyFont="1" applyBorder="1"/>
    <xf numFmtId="0" fontId="20" fillId="0" borderId="0" xfId="0" applyFont="1" applyBorder="1"/>
    <xf numFmtId="0" fontId="20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8" fillId="10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8" fillId="24" borderId="1" xfId="0" applyFont="1" applyFill="1" applyBorder="1" applyAlignment="1">
      <alignment horizontal="center" vertical="center" wrapText="1"/>
    </xf>
    <xf numFmtId="0" fontId="18" fillId="26" borderId="1" xfId="0" applyFont="1" applyFill="1" applyBorder="1" applyAlignment="1">
      <alignment horizontal="center" vertical="center" wrapText="1"/>
    </xf>
    <xf numFmtId="0" fontId="18" fillId="27" borderId="1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23" fillId="31" borderId="1" xfId="0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/>
    </xf>
    <xf numFmtId="0" fontId="28" fillId="41" borderId="0" xfId="0" applyFont="1" applyFill="1"/>
    <xf numFmtId="0" fontId="30" fillId="0" borderId="5" xfId="0" applyFont="1" applyBorder="1" applyAlignment="1">
      <alignment vertical="center"/>
    </xf>
    <xf numFmtId="0" fontId="30" fillId="0" borderId="0" xfId="0" applyFont="1" applyAlignment="1">
      <alignment vertical="center"/>
    </xf>
    <xf numFmtId="172" fontId="20" fillId="0" borderId="1" xfId="0" applyNumberFormat="1" applyFont="1" applyBorder="1" applyAlignment="1">
      <alignment horizontal="center" vertical="center"/>
    </xf>
    <xf numFmtId="0" fontId="21" fillId="10" borderId="1" xfId="0" applyFont="1" applyFill="1" applyBorder="1" applyAlignment="1">
      <alignment horizontal="right" vertical="center"/>
    </xf>
    <xf numFmtId="10" fontId="20" fillId="0" borderId="2" xfId="0" applyNumberFormat="1" applyFont="1" applyBorder="1" applyAlignment="1">
      <alignment horizontal="center" vertical="center"/>
    </xf>
    <xf numFmtId="0" fontId="21" fillId="12" borderId="1" xfId="0" applyFont="1" applyFill="1" applyBorder="1" applyAlignment="1">
      <alignment horizontal="right" vertical="center"/>
    </xf>
    <xf numFmtId="0" fontId="21" fillId="24" borderId="1" xfId="0" applyFont="1" applyFill="1" applyBorder="1" applyAlignment="1">
      <alignment horizontal="right" vertical="center" wrapText="1"/>
    </xf>
    <xf numFmtId="0" fontId="21" fillId="26" borderId="1" xfId="0" applyFont="1" applyFill="1" applyBorder="1" applyAlignment="1">
      <alignment horizontal="right" vertical="center" wrapText="1"/>
    </xf>
    <xf numFmtId="0" fontId="21" fillId="27" borderId="1" xfId="0" applyFont="1" applyFill="1" applyBorder="1" applyAlignment="1">
      <alignment horizontal="right" vertical="center" wrapText="1"/>
    </xf>
    <xf numFmtId="173" fontId="20" fillId="0" borderId="1" xfId="0" applyNumberFormat="1" applyFont="1" applyBorder="1" applyAlignment="1">
      <alignment horizontal="center" vertical="center"/>
    </xf>
    <xf numFmtId="0" fontId="28" fillId="39" borderId="0" xfId="0" applyFont="1" applyFill="1"/>
    <xf numFmtId="165" fontId="29" fillId="38" borderId="14" xfId="0" applyNumberFormat="1" applyFont="1" applyFill="1" applyBorder="1" applyAlignment="1">
      <alignment horizontal="center" vertical="center"/>
    </xf>
    <xf numFmtId="165" fontId="29" fillId="38" borderId="1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5" fontId="29" fillId="18" borderId="1" xfId="0" applyNumberFormat="1" applyFont="1" applyFill="1" applyBorder="1" applyAlignment="1">
      <alignment horizontal="center" vertical="center"/>
    </xf>
    <xf numFmtId="165" fontId="28" fillId="0" borderId="0" xfId="0" applyNumberFormat="1" applyFont="1"/>
    <xf numFmtId="0" fontId="18" fillId="0" borderId="0" xfId="0" applyFont="1" applyBorder="1" applyAlignment="1">
      <alignment vertical="center"/>
    </xf>
    <xf numFmtId="0" fontId="21" fillId="0" borderId="0" xfId="0" applyFont="1"/>
    <xf numFmtId="0" fontId="38" fillId="0" borderId="0" xfId="0" applyFont="1" applyAlignment="1">
      <alignment vertical="center" textRotation="90"/>
    </xf>
    <xf numFmtId="0" fontId="18" fillId="10" borderId="20" xfId="0" applyFont="1" applyFill="1" applyBorder="1" applyAlignment="1">
      <alignment vertical="center"/>
    </xf>
    <xf numFmtId="0" fontId="23" fillId="19" borderId="1" xfId="0" applyFont="1" applyFill="1" applyBorder="1" applyAlignment="1">
      <alignment horizontal="center" vertical="center"/>
    </xf>
    <xf numFmtId="0" fontId="23" fillId="19" borderId="1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vertical="center"/>
    </xf>
    <xf numFmtId="0" fontId="18" fillId="11" borderId="20" xfId="0" applyFont="1" applyFill="1" applyBorder="1" applyAlignment="1">
      <alignment vertical="center"/>
    </xf>
    <xf numFmtId="0" fontId="18" fillId="12" borderId="9" xfId="0" applyFont="1" applyFill="1" applyBorder="1" applyAlignment="1">
      <alignment vertical="center"/>
    </xf>
    <xf numFmtId="0" fontId="18" fillId="23" borderId="20" xfId="0" applyFont="1" applyFill="1" applyBorder="1" applyAlignment="1">
      <alignment vertical="center"/>
    </xf>
    <xf numFmtId="0" fontId="18" fillId="24" borderId="20" xfId="0" applyFont="1" applyFill="1" applyBorder="1" applyAlignment="1">
      <alignment vertical="center"/>
    </xf>
    <xf numFmtId="0" fontId="18" fillId="25" borderId="20" xfId="0" applyFont="1" applyFill="1" applyBorder="1" applyAlignment="1">
      <alignment vertical="center"/>
    </xf>
    <xf numFmtId="0" fontId="18" fillId="26" borderId="20" xfId="0" applyFont="1" applyFill="1" applyBorder="1" applyAlignment="1">
      <alignment vertical="center"/>
    </xf>
    <xf numFmtId="0" fontId="23" fillId="27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29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29" borderId="30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8" borderId="3" xfId="0" applyFont="1" applyFill="1" applyBorder="1" applyAlignment="1">
      <alignment vertical="center" wrapText="1"/>
    </xf>
    <xf numFmtId="0" fontId="21" fillId="17" borderId="3" xfId="0" applyFont="1" applyFill="1" applyBorder="1" applyAlignment="1">
      <alignment vertical="center" wrapText="1"/>
    </xf>
    <xf numFmtId="0" fontId="21" fillId="8" borderId="2" xfId="0" applyFont="1" applyFill="1" applyBorder="1" applyAlignment="1">
      <alignment vertical="center" wrapText="1"/>
    </xf>
    <xf numFmtId="0" fontId="21" fillId="17" borderId="4" xfId="0" applyFont="1" applyFill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3" fontId="21" fillId="0" borderId="3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70" fontId="21" fillId="0" borderId="1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170" fontId="21" fillId="0" borderId="2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vertical="center" wrapText="1"/>
    </xf>
    <xf numFmtId="3" fontId="21" fillId="0" borderId="0" xfId="0" applyNumberFormat="1" applyFont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4" fontId="21" fillId="0" borderId="17" xfId="0" applyNumberFormat="1" applyFont="1" applyBorder="1" applyAlignment="1">
      <alignment horizontal="center" vertical="center"/>
    </xf>
    <xf numFmtId="0" fontId="21" fillId="17" borderId="2" xfId="0" applyFont="1" applyFill="1" applyBorder="1" applyAlignment="1">
      <alignment vertical="center" wrapText="1"/>
    </xf>
    <xf numFmtId="0" fontId="21" fillId="0" borderId="41" xfId="0" applyFont="1" applyBorder="1" applyAlignment="1">
      <alignment vertical="center" wrapText="1"/>
    </xf>
    <xf numFmtId="3" fontId="21" fillId="0" borderId="0" xfId="0" applyNumberFormat="1" applyFont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 wrapText="1"/>
    </xf>
    <xf numFmtId="0" fontId="21" fillId="17" borderId="18" xfId="0" applyFont="1" applyFill="1" applyBorder="1" applyAlignment="1">
      <alignment vertical="center" wrapText="1"/>
    </xf>
    <xf numFmtId="0" fontId="21" fillId="17" borderId="29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170" fontId="21" fillId="0" borderId="6" xfId="0" applyNumberFormat="1" applyFont="1" applyBorder="1" applyAlignment="1">
      <alignment horizontal="center" vertical="center"/>
    </xf>
    <xf numFmtId="170" fontId="21" fillId="0" borderId="10" xfId="0" applyNumberFormat="1" applyFont="1" applyBorder="1" applyAlignment="1">
      <alignment horizontal="center" vertical="center"/>
    </xf>
    <xf numFmtId="170" fontId="21" fillId="0" borderId="17" xfId="0" applyNumberFormat="1" applyFont="1" applyBorder="1" applyAlignment="1">
      <alignment horizontal="center" vertical="center"/>
    </xf>
    <xf numFmtId="0" fontId="28" fillId="0" borderId="9" xfId="0" applyFont="1" applyBorder="1"/>
    <xf numFmtId="0" fontId="20" fillId="0" borderId="3" xfId="0" applyFont="1" applyBorder="1" applyAlignment="1">
      <alignment horizontal="right" vertical="center"/>
    </xf>
    <xf numFmtId="0" fontId="28" fillId="0" borderId="10" xfId="0" applyFont="1" applyBorder="1"/>
    <xf numFmtId="0" fontId="18" fillId="0" borderId="9" xfId="0" applyFont="1" applyBorder="1" applyAlignment="1">
      <alignment vertical="center"/>
    </xf>
    <xf numFmtId="3" fontId="41" fillId="18" borderId="2" xfId="0" applyNumberFormat="1" applyFont="1" applyFill="1" applyBorder="1" applyAlignment="1">
      <alignment horizontal="right" vertical="center" wrapText="1"/>
    </xf>
    <xf numFmtId="3" fontId="21" fillId="17" borderId="1" xfId="0" applyNumberFormat="1" applyFont="1" applyFill="1" applyBorder="1" applyAlignment="1">
      <alignment horizontal="center" vertical="center" wrapText="1"/>
    </xf>
    <xf numFmtId="170" fontId="29" fillId="29" borderId="2" xfId="0" applyNumberFormat="1" applyFont="1" applyFill="1" applyBorder="1" applyAlignment="1">
      <alignment horizontal="center" vertical="center" wrapText="1"/>
    </xf>
    <xf numFmtId="3" fontId="29" fillId="18" borderId="1" xfId="0" applyNumberFormat="1" applyFont="1" applyFill="1" applyBorder="1" applyAlignment="1">
      <alignment horizontal="center" vertical="center"/>
    </xf>
    <xf numFmtId="0" fontId="28" fillId="17" borderId="1" xfId="0" applyFont="1" applyFill="1" applyBorder="1"/>
    <xf numFmtId="170" fontId="29" fillId="30" borderId="2" xfId="0" applyNumberFormat="1" applyFont="1" applyFill="1" applyBorder="1" applyAlignment="1">
      <alignment horizontal="center" vertical="center" wrapText="1"/>
    </xf>
    <xf numFmtId="4" fontId="41" fillId="18" borderId="1" xfId="0" applyNumberFormat="1" applyFont="1" applyFill="1" applyBorder="1" applyAlignment="1">
      <alignment horizontal="center" vertical="center"/>
    </xf>
    <xf numFmtId="4" fontId="29" fillId="30" borderId="2" xfId="0" applyNumberFormat="1" applyFont="1" applyFill="1" applyBorder="1" applyAlignment="1">
      <alignment horizontal="center" vertical="center" wrapText="1"/>
    </xf>
    <xf numFmtId="170" fontId="41" fillId="18" borderId="1" xfId="0" applyNumberFormat="1" applyFont="1" applyFill="1" applyBorder="1" applyAlignment="1">
      <alignment horizontal="center" vertical="center"/>
    </xf>
    <xf numFmtId="4" fontId="29" fillId="29" borderId="2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0" fontId="28" fillId="0" borderId="17" xfId="0" applyFont="1" applyBorder="1" applyAlignment="1">
      <alignment horizontal="center"/>
    </xf>
    <xf numFmtId="0" fontId="28" fillId="0" borderId="17" xfId="0" applyFont="1" applyBorder="1"/>
    <xf numFmtId="0" fontId="18" fillId="0" borderId="17" xfId="0" applyFont="1" applyBorder="1" applyAlignment="1">
      <alignment vertical="center"/>
    </xf>
    <xf numFmtId="0" fontId="28" fillId="0" borderId="29" xfId="0" applyFont="1" applyBorder="1"/>
    <xf numFmtId="0" fontId="21" fillId="0" borderId="10" xfId="0" applyFont="1" applyBorder="1" applyAlignment="1">
      <alignment horizontal="center" vertical="center" wrapText="1"/>
    </xf>
    <xf numFmtId="0" fontId="42" fillId="13" borderId="10" xfId="0" applyFont="1" applyFill="1" applyBorder="1" applyAlignment="1">
      <alignment horizontal="center" vertical="center" wrapText="1"/>
    </xf>
    <xf numFmtId="0" fontId="42" fillId="13" borderId="2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42" fillId="13" borderId="2" xfId="0" applyFont="1" applyFill="1" applyBorder="1" applyAlignment="1">
      <alignment horizontal="center" vertical="center" wrapText="1"/>
    </xf>
    <xf numFmtId="0" fontId="28" fillId="0" borderId="7" xfId="0" applyFont="1" applyBorder="1"/>
    <xf numFmtId="0" fontId="42" fillId="13" borderId="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8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vertical="center" wrapText="1"/>
    </xf>
    <xf numFmtId="3" fontId="21" fillId="0" borderId="20" xfId="0" applyNumberFormat="1" applyFont="1" applyFill="1" applyBorder="1" applyAlignment="1">
      <alignment horizontal="center" vertical="center" wrapText="1"/>
    </xf>
    <xf numFmtId="170" fontId="21" fillId="0" borderId="3" xfId="0" applyNumberFormat="1" applyFont="1" applyBorder="1" applyAlignment="1">
      <alignment horizontal="center" vertical="center"/>
    </xf>
    <xf numFmtId="0" fontId="28" fillId="0" borderId="10" xfId="0" applyFont="1" applyFill="1" applyBorder="1"/>
    <xf numFmtId="3" fontId="21" fillId="0" borderId="5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/>
    </xf>
    <xf numFmtId="0" fontId="28" fillId="0" borderId="7" xfId="0" applyFont="1" applyFill="1" applyBorder="1"/>
    <xf numFmtId="3" fontId="21" fillId="0" borderId="10" xfId="0" applyNumberFormat="1" applyFont="1" applyBorder="1" applyAlignment="1">
      <alignment horizontal="center" vertical="center"/>
    </xf>
    <xf numFmtId="4" fontId="21" fillId="22" borderId="5" xfId="0" applyNumberFormat="1" applyFont="1" applyFill="1" applyBorder="1" applyAlignment="1">
      <alignment horizontal="center" vertical="center" wrapText="1"/>
    </xf>
    <xf numFmtId="3" fontId="21" fillId="22" borderId="5" xfId="0" applyNumberFormat="1" applyFont="1" applyFill="1" applyBorder="1" applyAlignment="1">
      <alignment horizontal="center" vertical="center" wrapText="1"/>
    </xf>
    <xf numFmtId="170" fontId="21" fillId="0" borderId="19" xfId="0" applyNumberFormat="1" applyFont="1" applyBorder="1" applyAlignment="1">
      <alignment horizontal="center" vertical="center"/>
    </xf>
    <xf numFmtId="3" fontId="21" fillId="22" borderId="2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4" fontId="21" fillId="22" borderId="20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0" xfId="0" applyNumberFormat="1" applyFont="1" applyBorder="1" applyAlignment="1">
      <alignment horizontal="center" vertical="center" wrapText="1"/>
    </xf>
    <xf numFmtId="0" fontId="21" fillId="17" borderId="28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170" fontId="23" fillId="0" borderId="3" xfId="0" applyNumberFormat="1" applyFont="1" applyFill="1" applyBorder="1" applyAlignment="1">
      <alignment horizontal="center" vertical="center"/>
    </xf>
    <xf numFmtId="170" fontId="23" fillId="0" borderId="1" xfId="0" applyNumberFormat="1" applyFont="1" applyFill="1" applyBorder="1" applyAlignment="1">
      <alignment horizontal="center" vertical="center"/>
    </xf>
    <xf numFmtId="3" fontId="41" fillId="18" borderId="3" xfId="0" applyNumberFormat="1" applyFont="1" applyFill="1" applyBorder="1" applyAlignment="1">
      <alignment horizontal="center" vertical="center"/>
    </xf>
    <xf numFmtId="0" fontId="28" fillId="0" borderId="6" xfId="0" applyFont="1" applyFill="1" applyBorder="1"/>
    <xf numFmtId="0" fontId="18" fillId="0" borderId="6" xfId="0" applyFont="1" applyFill="1" applyBorder="1" applyAlignment="1">
      <alignment vertical="center"/>
    </xf>
    <xf numFmtId="3" fontId="41" fillId="18" borderId="1" xfId="0" applyNumberFormat="1" applyFont="1" applyFill="1" applyBorder="1" applyAlignment="1">
      <alignment horizontal="center" vertical="center"/>
    </xf>
    <xf numFmtId="0" fontId="28" fillId="0" borderId="30" xfId="0" applyFont="1" applyFill="1" applyBorder="1"/>
    <xf numFmtId="0" fontId="20" fillId="0" borderId="1" xfId="0" applyFont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24" fillId="32" borderId="1" xfId="0" applyFont="1" applyFill="1" applyBorder="1" applyAlignment="1">
      <alignment horizontal="center" vertical="center"/>
    </xf>
    <xf numFmtId="0" fontId="24" fillId="3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4" fontId="24" fillId="32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5" fontId="24" fillId="32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0" fontId="21" fillId="0" borderId="6" xfId="0" applyNumberFormat="1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 wrapText="1"/>
    </xf>
    <xf numFmtId="165" fontId="30" fillId="5" borderId="17" xfId="0" applyNumberFormat="1" applyFont="1" applyFill="1" applyBorder="1" applyAlignment="1">
      <alignment horizontal="center" vertical="center"/>
    </xf>
    <xf numFmtId="0" fontId="21" fillId="33" borderId="3" xfId="0" applyFont="1" applyFill="1" applyBorder="1"/>
    <xf numFmtId="0" fontId="21" fillId="33" borderId="4" xfId="0" applyFont="1" applyFill="1" applyBorder="1"/>
    <xf numFmtId="0" fontId="21" fillId="33" borderId="2" xfId="0" applyFont="1" applyFill="1" applyBorder="1"/>
    <xf numFmtId="0" fontId="19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30" fillId="34" borderId="5" xfId="0" applyFont="1" applyFill="1" applyBorder="1" applyAlignment="1">
      <alignment horizontal="center" vertical="center"/>
    </xf>
    <xf numFmtId="0" fontId="30" fillId="34" borderId="6" xfId="0" applyFont="1" applyFill="1" applyBorder="1" applyAlignment="1">
      <alignment horizontal="center" vertical="center"/>
    </xf>
    <xf numFmtId="0" fontId="28" fillId="3" borderId="0" xfId="0" applyFont="1" applyFill="1"/>
    <xf numFmtId="0" fontId="21" fillId="0" borderId="20" xfId="0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7" fontId="21" fillId="0" borderId="2" xfId="0" applyNumberFormat="1" applyFont="1" applyBorder="1" applyAlignment="1">
      <alignment horizontal="center" vertical="center"/>
    </xf>
    <xf numFmtId="10" fontId="23" fillId="8" borderId="17" xfId="0" applyNumberFormat="1" applyFont="1" applyFill="1" applyBorder="1" applyAlignment="1">
      <alignment horizontal="center" vertical="center"/>
    </xf>
    <xf numFmtId="165" fontId="23" fillId="8" borderId="17" xfId="0" applyNumberFormat="1" applyFont="1" applyFill="1" applyBorder="1" applyAlignment="1">
      <alignment horizontal="center" vertical="center"/>
    </xf>
    <xf numFmtId="165" fontId="23" fillId="8" borderId="1" xfId="0" applyNumberFormat="1" applyFont="1" applyFill="1" applyBorder="1" applyAlignment="1">
      <alignment horizontal="center" vertical="center"/>
    </xf>
    <xf numFmtId="0" fontId="28" fillId="0" borderId="19" xfId="0" applyFont="1" applyBorder="1"/>
    <xf numFmtId="0" fontId="28" fillId="0" borderId="18" xfId="0" applyFont="1" applyBorder="1"/>
    <xf numFmtId="0" fontId="21" fillId="0" borderId="9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10" fontId="23" fillId="8" borderId="1" xfId="0" applyNumberFormat="1" applyFont="1" applyFill="1" applyBorder="1" applyAlignment="1">
      <alignment horizontal="center" vertical="center"/>
    </xf>
    <xf numFmtId="166" fontId="23" fillId="8" borderId="1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65" fontId="21" fillId="3" borderId="1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35" borderId="3" xfId="0" applyFont="1" applyFill="1" applyBorder="1"/>
    <xf numFmtId="0" fontId="21" fillId="35" borderId="4" xfId="0" applyFont="1" applyFill="1" applyBorder="1"/>
    <xf numFmtId="0" fontId="21" fillId="35" borderId="2" xfId="0" applyFont="1" applyFill="1" applyBorder="1"/>
    <xf numFmtId="165" fontId="20" fillId="0" borderId="1" xfId="0" applyNumberFormat="1" applyFont="1" applyBorder="1" applyAlignment="1">
      <alignment horizontal="center" vertical="center"/>
    </xf>
    <xf numFmtId="10" fontId="20" fillId="0" borderId="1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10" fontId="20" fillId="0" borderId="17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1" fillId="0" borderId="3" xfId="0" applyFont="1" applyBorder="1"/>
    <xf numFmtId="0" fontId="21" fillId="0" borderId="4" xfId="0" applyFont="1" applyBorder="1"/>
    <xf numFmtId="166" fontId="30" fillId="5" borderId="19" xfId="0" applyNumberFormat="1" applyFont="1" applyFill="1" applyBorder="1" applyAlignment="1">
      <alignment horizontal="center" vertical="center"/>
    </xf>
    <xf numFmtId="166" fontId="30" fillId="5" borderId="17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3" fillId="0" borderId="5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30" fillId="5" borderId="6" xfId="0" applyNumberFormat="1" applyFont="1" applyFill="1" applyBorder="1" applyAlignment="1">
      <alignment horizontal="center" vertical="center"/>
    </xf>
    <xf numFmtId="0" fontId="29" fillId="0" borderId="20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165" fontId="24" fillId="0" borderId="1" xfId="0" applyNumberFormat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165" fontId="49" fillId="44" borderId="1" xfId="0" applyNumberFormat="1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42" fillId="13" borderId="7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/>
    </xf>
    <xf numFmtId="165" fontId="21" fillId="17" borderId="2" xfId="0" applyNumberFormat="1" applyFont="1" applyFill="1" applyBorder="1" applyAlignment="1">
      <alignment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65" fontId="21" fillId="0" borderId="6" xfId="0" applyNumberFormat="1" applyFont="1" applyBorder="1" applyAlignment="1">
      <alignment horizontal="center" vertical="center"/>
    </xf>
    <xf numFmtId="165" fontId="21" fillId="0" borderId="17" xfId="0" applyNumberFormat="1" applyFont="1" applyBorder="1" applyAlignment="1">
      <alignment horizontal="center" vertical="center"/>
    </xf>
    <xf numFmtId="0" fontId="29" fillId="18" borderId="7" xfId="0" applyFont="1" applyFill="1" applyBorder="1" applyAlignment="1">
      <alignment horizontal="center" vertical="center" wrapText="1"/>
    </xf>
    <xf numFmtId="0" fontId="29" fillId="18" borderId="10" xfId="0" applyFont="1" applyFill="1" applyBorder="1" applyAlignment="1">
      <alignment horizontal="center" vertical="center" wrapText="1"/>
    </xf>
    <xf numFmtId="0" fontId="29" fillId="18" borderId="13" xfId="0" applyFont="1" applyFill="1" applyBorder="1" applyAlignment="1">
      <alignment horizontal="center" vertical="center" wrapText="1"/>
    </xf>
    <xf numFmtId="0" fontId="29" fillId="18" borderId="1" xfId="0" applyFont="1" applyFill="1" applyBorder="1" applyAlignment="1">
      <alignment horizontal="center" vertical="center" wrapText="1"/>
    </xf>
    <xf numFmtId="0" fontId="21" fillId="8" borderId="28" xfId="0" applyFont="1" applyFill="1" applyBorder="1" applyAlignment="1">
      <alignment vertical="center" wrapText="1"/>
    </xf>
    <xf numFmtId="165" fontId="21" fillId="0" borderId="5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/>
    </xf>
    <xf numFmtId="0" fontId="20" fillId="0" borderId="10" xfId="0" applyFont="1" applyFill="1" applyBorder="1"/>
    <xf numFmtId="0" fontId="23" fillId="0" borderId="10" xfId="0" applyFont="1" applyFill="1" applyBorder="1" applyAlignment="1">
      <alignment vertical="center"/>
    </xf>
    <xf numFmtId="0" fontId="20" fillId="0" borderId="9" xfId="0" applyFont="1" applyFill="1" applyBorder="1"/>
    <xf numFmtId="165" fontId="21" fillId="0" borderId="2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165" fontId="21" fillId="0" borderId="19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1" fillId="18" borderId="18" xfId="0" applyNumberFormat="1" applyFont="1" applyFill="1" applyBorder="1" applyAlignment="1">
      <alignment horizontal="center" vertical="center"/>
    </xf>
    <xf numFmtId="165" fontId="21" fillId="18" borderId="18" xfId="0" applyNumberFormat="1" applyFont="1" applyFill="1" applyBorder="1" applyAlignment="1">
      <alignment horizontal="center" vertical="center"/>
    </xf>
    <xf numFmtId="165" fontId="23" fillId="0" borderId="18" xfId="0" applyNumberFormat="1" applyFont="1" applyBorder="1" applyAlignment="1">
      <alignment horizontal="center" vertical="center"/>
    </xf>
    <xf numFmtId="3" fontId="21" fillId="18" borderId="19" xfId="0" applyNumberFormat="1" applyFont="1" applyFill="1" applyBorder="1" applyAlignment="1">
      <alignment horizontal="center" vertical="center"/>
    </xf>
    <xf numFmtId="165" fontId="23" fillId="0" borderId="29" xfId="0" applyNumberFormat="1" applyFont="1" applyBorder="1" applyAlignment="1">
      <alignment horizontal="center" vertical="center"/>
    </xf>
    <xf numFmtId="0" fontId="28" fillId="0" borderId="0" xfId="0" applyFont="1" applyBorder="1"/>
    <xf numFmtId="170" fontId="21" fillId="0" borderId="18" xfId="0" applyNumberFormat="1" applyFont="1" applyBorder="1" applyAlignment="1">
      <alignment horizontal="center" vertical="center"/>
    </xf>
    <xf numFmtId="0" fontId="20" fillId="0" borderId="9" xfId="0" applyFont="1" applyBorder="1"/>
    <xf numFmtId="170" fontId="21" fillId="0" borderId="29" xfId="0" applyNumberFormat="1" applyFont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4" fontId="21" fillId="0" borderId="18" xfId="0" applyNumberFormat="1" applyFont="1" applyBorder="1" applyAlignment="1">
      <alignment horizontal="center" vertical="center"/>
    </xf>
    <xf numFmtId="4" fontId="21" fillId="0" borderId="4" xfId="0" applyNumberFormat="1" applyFont="1" applyFill="1" applyBorder="1" applyAlignment="1">
      <alignment horizontal="center" vertical="center"/>
    </xf>
    <xf numFmtId="165" fontId="21" fillId="0" borderId="4" xfId="0" applyNumberFormat="1" applyFont="1" applyFill="1" applyBorder="1" applyAlignment="1">
      <alignment horizontal="center" vertical="center" wrapText="1"/>
    </xf>
    <xf numFmtId="0" fontId="28" fillId="0" borderId="5" xfId="0" applyFont="1" applyBorder="1"/>
    <xf numFmtId="3" fontId="21" fillId="18" borderId="4" xfId="0" applyNumberFormat="1" applyFont="1" applyFill="1" applyBorder="1" applyAlignment="1">
      <alignment horizontal="center" vertical="center"/>
    </xf>
    <xf numFmtId="165" fontId="21" fillId="18" borderId="4" xfId="0" applyNumberFormat="1" applyFont="1" applyFill="1" applyBorder="1" applyAlignment="1">
      <alignment horizontal="center" vertical="center"/>
    </xf>
    <xf numFmtId="165" fontId="26" fillId="0" borderId="2" xfId="0" applyNumberFormat="1" applyFont="1" applyBorder="1" applyAlignment="1">
      <alignment horizontal="center" vertical="center"/>
    </xf>
    <xf numFmtId="0" fontId="20" fillId="0" borderId="5" xfId="0" applyFont="1" applyBorder="1"/>
    <xf numFmtId="3" fontId="21" fillId="18" borderId="3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0" fillId="0" borderId="0" xfId="0" applyFont="1" applyAlignment="1">
      <alignment vertical="center" textRotation="90"/>
    </xf>
    <xf numFmtId="0" fontId="40" fillId="0" borderId="0" xfId="0" applyFont="1" applyAlignment="1">
      <alignment horizontal="center" vertical="center" wrapText="1"/>
    </xf>
    <xf numFmtId="0" fontId="29" fillId="0" borderId="0" xfId="0" applyFont="1" applyFill="1" applyBorder="1" applyAlignment="1">
      <alignment vertical="center"/>
    </xf>
    <xf numFmtId="0" fontId="21" fillId="10" borderId="30" xfId="0" applyFont="1" applyFill="1" applyBorder="1" applyAlignment="1">
      <alignment horizontal="right" vertical="center"/>
    </xf>
    <xf numFmtId="166" fontId="21" fillId="0" borderId="6" xfId="0" applyNumberFormat="1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right" vertical="center" wrapText="1"/>
    </xf>
    <xf numFmtId="166" fontId="21" fillId="0" borderId="1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right" vertical="center"/>
    </xf>
    <xf numFmtId="166" fontId="21" fillId="0" borderId="1" xfId="0" applyNumberFormat="1" applyFont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right" vertical="center"/>
    </xf>
    <xf numFmtId="0" fontId="21" fillId="12" borderId="2" xfId="0" applyFont="1" applyFill="1" applyBorder="1" applyAlignment="1">
      <alignment horizontal="right" vertical="center"/>
    </xf>
    <xf numFmtId="0" fontId="21" fillId="23" borderId="2" xfId="0" applyFont="1" applyFill="1" applyBorder="1" applyAlignment="1">
      <alignment horizontal="right" vertical="center"/>
    </xf>
    <xf numFmtId="0" fontId="21" fillId="24" borderId="2" xfId="0" applyFont="1" applyFill="1" applyBorder="1" applyAlignment="1">
      <alignment horizontal="right" vertical="center"/>
    </xf>
    <xf numFmtId="0" fontId="21" fillId="25" borderId="2" xfId="0" applyFont="1" applyFill="1" applyBorder="1" applyAlignment="1">
      <alignment horizontal="right" vertical="center"/>
    </xf>
    <xf numFmtId="0" fontId="21" fillId="26" borderId="2" xfId="0" applyFont="1" applyFill="1" applyBorder="1" applyAlignment="1">
      <alignment horizontal="right" vertical="center"/>
    </xf>
    <xf numFmtId="0" fontId="21" fillId="27" borderId="2" xfId="0" applyFont="1" applyFill="1" applyBorder="1" applyAlignment="1">
      <alignment horizontal="right" vertical="center"/>
    </xf>
    <xf numFmtId="166" fontId="29" fillId="38" borderId="14" xfId="0" applyNumberFormat="1" applyFont="1" applyFill="1" applyBorder="1" applyAlignment="1">
      <alignment horizontal="center" vertical="center" wrapText="1"/>
    </xf>
    <xf numFmtId="166" fontId="29" fillId="40" borderId="43" xfId="0" applyNumberFormat="1" applyFont="1" applyFill="1" applyBorder="1" applyAlignment="1">
      <alignment horizontal="center" vertical="center" wrapText="1"/>
    </xf>
    <xf numFmtId="0" fontId="53" fillId="40" borderId="43" xfId="0" applyFont="1" applyFill="1" applyBorder="1"/>
    <xf numFmtId="0" fontId="37" fillId="0" borderId="64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 wrapText="1"/>
    </xf>
    <xf numFmtId="0" fontId="37" fillId="0" borderId="56" xfId="0" applyFont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center" vertical="center" wrapText="1"/>
    </xf>
    <xf numFmtId="0" fontId="37" fillId="0" borderId="57" xfId="0" applyFont="1" applyFill="1" applyBorder="1" applyAlignment="1">
      <alignment horizontal="center" vertical="center" wrapText="1"/>
    </xf>
    <xf numFmtId="44" fontId="28" fillId="0" borderId="0" xfId="0" applyNumberFormat="1" applyFont="1"/>
    <xf numFmtId="0" fontId="28" fillId="0" borderId="0" xfId="0" applyFont="1" applyAlignment="1">
      <alignment horizontal="center"/>
    </xf>
    <xf numFmtId="0" fontId="37" fillId="0" borderId="39" xfId="0" applyFont="1" applyBorder="1" applyAlignment="1">
      <alignment horizontal="center" vertical="center"/>
    </xf>
    <xf numFmtId="0" fontId="21" fillId="10" borderId="49" xfId="0" applyFont="1" applyFill="1" applyBorder="1" applyAlignment="1">
      <alignment horizontal="right" vertical="center"/>
    </xf>
    <xf numFmtId="166" fontId="21" fillId="0" borderId="49" xfId="0" applyNumberFormat="1" applyFont="1" applyBorder="1" applyAlignment="1">
      <alignment horizontal="center" vertical="center" wrapText="1"/>
    </xf>
    <xf numFmtId="166" fontId="21" fillId="0" borderId="56" xfId="0" applyNumberFormat="1" applyFont="1" applyBorder="1" applyAlignment="1">
      <alignment horizontal="center" vertical="center" wrapText="1"/>
    </xf>
    <xf numFmtId="166" fontId="29" fillId="38" borderId="49" xfId="0" applyNumberFormat="1" applyFont="1" applyFill="1" applyBorder="1" applyAlignment="1">
      <alignment horizontal="center" vertical="center" wrapText="1"/>
    </xf>
    <xf numFmtId="171" fontId="21" fillId="0" borderId="55" xfId="2" applyNumberFormat="1" applyFont="1" applyBorder="1" applyAlignment="1">
      <alignment horizontal="center" wrapText="1"/>
    </xf>
    <xf numFmtId="171" fontId="21" fillId="0" borderId="40" xfId="2" applyNumberFormat="1" applyFont="1" applyBorder="1" applyAlignment="1">
      <alignment horizontal="center" wrapText="1"/>
    </xf>
    <xf numFmtId="7" fontId="29" fillId="38" borderId="57" xfId="1" applyNumberFormat="1" applyFont="1" applyFill="1" applyBorder="1" applyAlignment="1">
      <alignment horizontal="center" vertical="center"/>
    </xf>
    <xf numFmtId="0" fontId="21" fillId="12" borderId="49" xfId="0" applyFont="1" applyFill="1" applyBorder="1" applyAlignment="1">
      <alignment horizontal="right" vertical="center"/>
    </xf>
    <xf numFmtId="0" fontId="21" fillId="24" borderId="49" xfId="0" applyFont="1" applyFill="1" applyBorder="1" applyAlignment="1">
      <alignment horizontal="right" vertical="center"/>
    </xf>
    <xf numFmtId="0" fontId="21" fillId="26" borderId="49" xfId="0" applyFont="1" applyFill="1" applyBorder="1" applyAlignment="1">
      <alignment horizontal="right" vertical="center"/>
    </xf>
    <xf numFmtId="0" fontId="21" fillId="27" borderId="49" xfId="0" applyFont="1" applyFill="1" applyBorder="1" applyAlignment="1">
      <alignment horizontal="right" vertical="center"/>
    </xf>
    <xf numFmtId="7" fontId="52" fillId="0" borderId="45" xfId="0" applyNumberFormat="1" applyFont="1" applyBorder="1" applyAlignment="1">
      <alignment horizontal="center" vertical="center"/>
    </xf>
    <xf numFmtId="0" fontId="50" fillId="0" borderId="20" xfId="0" applyFont="1" applyBorder="1" applyAlignment="1">
      <alignment vertical="center" textRotation="90"/>
    </xf>
    <xf numFmtId="0" fontId="37" fillId="0" borderId="5" xfId="0" applyFont="1" applyBorder="1" applyAlignment="1">
      <alignment horizontal="center" vertical="center" wrapText="1"/>
    </xf>
    <xf numFmtId="169" fontId="37" fillId="0" borderId="5" xfId="2" applyNumberFormat="1" applyFont="1" applyFill="1" applyBorder="1" applyAlignment="1">
      <alignment horizontal="center" vertical="center" wrapText="1"/>
    </xf>
    <xf numFmtId="44" fontId="52" fillId="0" borderId="30" xfId="0" applyNumberFormat="1" applyFont="1" applyBorder="1"/>
    <xf numFmtId="0" fontId="50" fillId="36" borderId="30" xfId="0" applyFont="1" applyFill="1" applyBorder="1" applyAlignment="1">
      <alignment horizontal="center" vertical="center" wrapText="1"/>
    </xf>
    <xf numFmtId="7" fontId="51" fillId="45" borderId="1" xfId="1" applyNumberFormat="1" applyFont="1" applyFill="1" applyBorder="1" applyAlignment="1">
      <alignment horizontal="center" vertical="center" wrapText="1"/>
    </xf>
    <xf numFmtId="44" fontId="28" fillId="0" borderId="0" xfId="0" applyNumberFormat="1" applyFont="1" applyFill="1"/>
    <xf numFmtId="0" fontId="50" fillId="0" borderId="18" xfId="0" applyFont="1" applyBorder="1" applyAlignment="1">
      <alignment vertical="center" textRotation="90"/>
    </xf>
    <xf numFmtId="43" fontId="28" fillId="0" borderId="0" xfId="2" applyFont="1"/>
    <xf numFmtId="4" fontId="28" fillId="0" borderId="0" xfId="0" applyNumberFormat="1" applyFont="1"/>
    <xf numFmtId="165" fontId="28" fillId="0" borderId="0" xfId="0" applyNumberFormat="1" applyFont="1" applyAlignment="1">
      <alignment horizontal="center" vertical="center"/>
    </xf>
    <xf numFmtId="0" fontId="26" fillId="46" borderId="1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/>
    </xf>
    <xf numFmtId="0" fontId="23" fillId="46" borderId="57" xfId="0" applyFont="1" applyFill="1" applyBorder="1" applyAlignment="1">
      <alignment horizontal="center" vertical="center" wrapText="1"/>
    </xf>
    <xf numFmtId="0" fontId="23" fillId="47" borderId="1" xfId="0" applyFont="1" applyFill="1" applyBorder="1" applyAlignment="1">
      <alignment horizontal="center" vertical="center" wrapText="1"/>
    </xf>
    <xf numFmtId="0" fontId="23" fillId="47" borderId="68" xfId="0" applyFont="1" applyFill="1" applyBorder="1" applyAlignment="1">
      <alignment horizontal="center" vertical="center"/>
    </xf>
    <xf numFmtId="0" fontId="23" fillId="47" borderId="54" xfId="0" applyFont="1" applyFill="1" applyBorder="1" applyAlignment="1">
      <alignment horizontal="center" vertical="center" wrapText="1"/>
    </xf>
    <xf numFmtId="0" fontId="15" fillId="47" borderId="1" xfId="0" applyFont="1" applyFill="1" applyBorder="1" applyAlignment="1">
      <alignment horizontal="center" vertical="center" wrapText="1"/>
    </xf>
    <xf numFmtId="0" fontId="15" fillId="47" borderId="68" xfId="0" applyFont="1" applyFill="1" applyBorder="1" applyAlignment="1">
      <alignment horizontal="center" vertical="center"/>
    </xf>
    <xf numFmtId="0" fontId="15" fillId="47" borderId="5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left" vertical="center" wrapText="1"/>
    </xf>
    <xf numFmtId="0" fontId="37" fillId="9" borderId="1" xfId="0" applyFont="1" applyFill="1" applyBorder="1" applyAlignment="1">
      <alignment horizontal="left" vertical="center" wrapText="1"/>
    </xf>
    <xf numFmtId="0" fontId="30" fillId="48" borderId="1" xfId="0" applyFont="1" applyFill="1" applyBorder="1" applyAlignment="1">
      <alignment horizontal="center" vertical="center"/>
    </xf>
    <xf numFmtId="0" fontId="30" fillId="48" borderId="5" xfId="0" applyFont="1" applyFill="1" applyBorder="1" applyAlignment="1">
      <alignment horizontal="center" vertical="center"/>
    </xf>
    <xf numFmtId="0" fontId="30" fillId="48" borderId="6" xfId="0" applyFont="1" applyFill="1" applyBorder="1" applyAlignment="1">
      <alignment horizontal="center" vertical="center"/>
    </xf>
    <xf numFmtId="0" fontId="30" fillId="48" borderId="20" xfId="0" applyFont="1" applyFill="1" applyBorder="1" applyAlignment="1">
      <alignment horizontal="center" vertical="center"/>
    </xf>
    <xf numFmtId="0" fontId="30" fillId="48" borderId="30" xfId="0" applyFont="1" applyFill="1" applyBorder="1" applyAlignment="1">
      <alignment horizontal="center" vertical="center"/>
    </xf>
    <xf numFmtId="0" fontId="30" fillId="48" borderId="4" xfId="0" applyFont="1" applyFill="1" applyBorder="1" applyAlignment="1">
      <alignment horizontal="center" vertical="center"/>
    </xf>
    <xf numFmtId="0" fontId="30" fillId="48" borderId="3" xfId="0" applyFont="1" applyFill="1" applyBorder="1" applyAlignment="1">
      <alignment horizontal="center" vertical="center"/>
    </xf>
    <xf numFmtId="0" fontId="34" fillId="46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vertical="center" wrapText="1"/>
    </xf>
    <xf numFmtId="10" fontId="21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20" fillId="51" borderId="1" xfId="0" applyFont="1" applyFill="1" applyBorder="1" applyAlignment="1">
      <alignment horizontal="center" vertical="center" wrapText="1"/>
    </xf>
    <xf numFmtId="165" fontId="20" fillId="51" borderId="1" xfId="0" applyNumberFormat="1" applyFont="1" applyFill="1" applyBorder="1" applyAlignment="1">
      <alignment horizontal="center" vertical="center" wrapText="1"/>
    </xf>
    <xf numFmtId="165" fontId="21" fillId="51" borderId="12" xfId="0" applyNumberFormat="1" applyFont="1" applyFill="1" applyBorder="1" applyAlignment="1">
      <alignment horizontal="center" vertical="center"/>
    </xf>
    <xf numFmtId="165" fontId="21" fillId="51" borderId="6" xfId="0" applyNumberFormat="1" applyFont="1" applyFill="1" applyBorder="1" applyAlignment="1">
      <alignment horizontal="center" vertical="center"/>
    </xf>
    <xf numFmtId="10" fontId="21" fillId="50" borderId="1" xfId="0" applyNumberFormat="1" applyFont="1" applyFill="1" applyBorder="1" applyAlignment="1">
      <alignment horizontal="center" vertical="center"/>
    </xf>
    <xf numFmtId="164" fontId="21" fillId="50" borderId="1" xfId="0" applyNumberFormat="1" applyFont="1" applyFill="1" applyBorder="1" applyAlignment="1">
      <alignment horizontal="center" vertical="center"/>
    </xf>
    <xf numFmtId="0" fontId="21" fillId="51" borderId="1" xfId="0" applyFont="1" applyFill="1" applyBorder="1" applyAlignment="1">
      <alignment vertical="center"/>
    </xf>
    <xf numFmtId="165" fontId="20" fillId="51" borderId="1" xfId="1" applyNumberFormat="1" applyFont="1" applyFill="1" applyBorder="1" applyAlignment="1">
      <alignment horizontal="center" vertical="center"/>
    </xf>
    <xf numFmtId="3" fontId="20" fillId="51" borderId="1" xfId="1" applyNumberFormat="1" applyFont="1" applyFill="1" applyBorder="1" applyAlignment="1">
      <alignment horizontal="center" vertical="center"/>
    </xf>
    <xf numFmtId="165" fontId="20" fillId="51" borderId="63" xfId="0" applyNumberFormat="1" applyFont="1" applyFill="1" applyBorder="1" applyAlignment="1">
      <alignment horizontal="center" vertical="center"/>
    </xf>
    <xf numFmtId="165" fontId="20" fillId="51" borderId="1" xfId="0" applyNumberFormat="1" applyFont="1" applyFill="1" applyBorder="1" applyAlignment="1">
      <alignment horizontal="center" vertical="center"/>
    </xf>
    <xf numFmtId="7" fontId="21" fillId="51" borderId="1" xfId="1" applyNumberFormat="1" applyFont="1" applyFill="1" applyBorder="1" applyAlignment="1">
      <alignment horizontal="center" vertical="center"/>
    </xf>
    <xf numFmtId="0" fontId="21" fillId="52" borderId="29" xfId="0" applyFont="1" applyFill="1" applyBorder="1" applyAlignment="1">
      <alignment vertical="center"/>
    </xf>
    <xf numFmtId="165" fontId="21" fillId="52" borderId="2" xfId="0" applyNumberFormat="1" applyFont="1" applyFill="1" applyBorder="1" applyAlignment="1">
      <alignment horizontal="center" vertical="center"/>
    </xf>
    <xf numFmtId="165" fontId="21" fillId="52" borderId="1" xfId="0" applyNumberFormat="1" applyFont="1" applyFill="1" applyBorder="1" applyAlignment="1">
      <alignment horizontal="center" vertical="center"/>
    </xf>
    <xf numFmtId="0" fontId="21" fillId="52" borderId="2" xfId="0" applyFont="1" applyFill="1" applyBorder="1" applyAlignment="1">
      <alignment vertical="center"/>
    </xf>
    <xf numFmtId="10" fontId="24" fillId="51" borderId="2" xfId="0" applyNumberFormat="1" applyFont="1" applyFill="1" applyBorder="1" applyAlignment="1">
      <alignment horizontal="center" vertical="center"/>
    </xf>
    <xf numFmtId="10" fontId="20" fillId="51" borderId="1" xfId="0" applyNumberFormat="1" applyFont="1" applyFill="1" applyBorder="1" applyAlignment="1">
      <alignment horizontal="center" vertical="center" wrapText="1"/>
    </xf>
    <xf numFmtId="10" fontId="24" fillId="51" borderId="1" xfId="0" applyNumberFormat="1" applyFont="1" applyFill="1" applyBorder="1" applyAlignment="1">
      <alignment horizontal="center" vertical="center" wrapText="1"/>
    </xf>
    <xf numFmtId="10" fontId="24" fillId="51" borderId="17" xfId="0" applyNumberFormat="1" applyFont="1" applyFill="1" applyBorder="1" applyAlignment="1">
      <alignment horizontal="center" vertical="center" wrapText="1"/>
    </xf>
    <xf numFmtId="0" fontId="21" fillId="51" borderId="3" xfId="0" applyFont="1" applyFill="1" applyBorder="1" applyAlignment="1">
      <alignment vertical="center"/>
    </xf>
    <xf numFmtId="0" fontId="21" fillId="51" borderId="4" xfId="0" applyFont="1" applyFill="1" applyBorder="1" applyAlignment="1">
      <alignment vertical="center"/>
    </xf>
    <xf numFmtId="0" fontId="21" fillId="51" borderId="2" xfId="0" applyFont="1" applyFill="1" applyBorder="1" applyAlignment="1">
      <alignment vertical="center"/>
    </xf>
    <xf numFmtId="165" fontId="21" fillId="51" borderId="1" xfId="0" applyNumberFormat="1" applyFont="1" applyFill="1" applyBorder="1" applyAlignment="1">
      <alignment horizontal="center" vertical="center"/>
    </xf>
    <xf numFmtId="0" fontId="21" fillId="52" borderId="1" xfId="0" applyFont="1" applyFill="1" applyBorder="1" applyAlignment="1">
      <alignment vertical="center"/>
    </xf>
    <xf numFmtId="0" fontId="20" fillId="0" borderId="70" xfId="0" applyFont="1" applyFill="1" applyBorder="1" applyAlignment="1">
      <alignment horizontal="center" vertical="center"/>
    </xf>
    <xf numFmtId="0" fontId="21" fillId="0" borderId="71" xfId="0" applyFont="1" applyBorder="1" applyAlignment="1">
      <alignment horizontal="justify" vertical="center" wrapText="1"/>
    </xf>
    <xf numFmtId="0" fontId="20" fillId="0" borderId="71" xfId="0" applyFont="1" applyBorder="1" applyAlignment="1">
      <alignment vertical="center" wrapText="1"/>
    </xf>
    <xf numFmtId="0" fontId="20" fillId="39" borderId="7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63" xfId="0" applyFont="1" applyFill="1" applyBorder="1" applyAlignment="1">
      <alignment horizontal="justify" vertical="center" wrapText="1"/>
    </xf>
    <xf numFmtId="0" fontId="20" fillId="0" borderId="63" xfId="0" applyFont="1" applyFill="1" applyBorder="1" applyAlignment="1">
      <alignment vertical="center" wrapText="1"/>
    </xf>
    <xf numFmtId="0" fontId="21" fillId="0" borderId="63" xfId="3" applyFont="1" applyFill="1" applyBorder="1" applyAlignment="1">
      <alignment horizontal="justify" vertical="center" wrapText="1"/>
    </xf>
    <xf numFmtId="165" fontId="21" fillId="0" borderId="2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5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 vertical="center"/>
    </xf>
    <xf numFmtId="0" fontId="27" fillId="4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51" borderId="1" xfId="0" applyFont="1" applyFill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51" borderId="1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/>
    </xf>
    <xf numFmtId="0" fontId="20" fillId="51" borderId="3" xfId="0" applyFont="1" applyFill="1" applyBorder="1" applyAlignment="1">
      <alignment horizontal="center" vertical="center" wrapText="1"/>
    </xf>
    <xf numFmtId="0" fontId="20" fillId="51" borderId="2" xfId="0" applyFont="1" applyFill="1" applyBorder="1" applyAlignment="1">
      <alignment horizontal="center" vertical="center" wrapText="1"/>
    </xf>
    <xf numFmtId="0" fontId="30" fillId="46" borderId="39" xfId="0" applyFont="1" applyFill="1" applyBorder="1" applyAlignment="1">
      <alignment horizontal="center" vertical="center"/>
    </xf>
    <xf numFmtId="0" fontId="30" fillId="46" borderId="55" xfId="0" applyFont="1" applyFill="1" applyBorder="1" applyAlignment="1">
      <alignment horizontal="center" vertical="center"/>
    </xf>
    <xf numFmtId="0" fontId="23" fillId="46" borderId="56" xfId="0" applyFont="1" applyFill="1" applyBorder="1" applyAlignment="1">
      <alignment horizontal="center" vertical="center" wrapText="1"/>
    </xf>
    <xf numFmtId="0" fontId="23" fillId="46" borderId="40" xfId="0" applyFont="1" applyFill="1" applyBorder="1" applyAlignment="1">
      <alignment horizontal="center" vertical="center" wrapText="1"/>
    </xf>
    <xf numFmtId="0" fontId="23" fillId="46" borderId="55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right" vertical="center"/>
    </xf>
    <xf numFmtId="0" fontId="21" fillId="0" borderId="30" xfId="0" applyFont="1" applyBorder="1" applyAlignment="1">
      <alignment horizontal="right" vertical="center"/>
    </xf>
    <xf numFmtId="165" fontId="21" fillId="51" borderId="6" xfId="0" applyNumberFormat="1" applyFont="1" applyFill="1" applyBorder="1" applyAlignment="1">
      <alignment horizontal="center" vertical="center"/>
    </xf>
    <xf numFmtId="0" fontId="21" fillId="0" borderId="19" xfId="0" applyFont="1" applyBorder="1" applyAlignment="1">
      <alignment horizontal="right" vertical="center"/>
    </xf>
    <xf numFmtId="0" fontId="21" fillId="0" borderId="29" xfId="0" applyFont="1" applyBorder="1" applyAlignment="1">
      <alignment horizontal="right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3" fillId="0" borderId="59" xfId="0" applyFont="1" applyFill="1" applyBorder="1" applyAlignment="1">
      <alignment horizontal="center" vertical="center"/>
    </xf>
    <xf numFmtId="0" fontId="23" fillId="0" borderId="60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48" xfId="0" applyFont="1" applyFill="1" applyBorder="1" applyAlignment="1">
      <alignment horizontal="center" vertical="center"/>
    </xf>
    <xf numFmtId="0" fontId="23" fillId="0" borderId="43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165" fontId="21" fillId="51" borderId="25" xfId="0" applyNumberFormat="1" applyFont="1" applyFill="1" applyBorder="1" applyAlignment="1">
      <alignment horizontal="center" vertical="center"/>
    </xf>
    <xf numFmtId="165" fontId="21" fillId="51" borderId="26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0" fontId="21" fillId="0" borderId="2" xfId="0" applyFont="1" applyBorder="1" applyAlignment="1">
      <alignment horizontal="right" vertical="center"/>
    </xf>
    <xf numFmtId="0" fontId="21" fillId="0" borderId="1" xfId="0" applyFont="1" applyBorder="1" applyAlignment="1">
      <alignment horizontal="center"/>
    </xf>
    <xf numFmtId="0" fontId="29" fillId="18" borderId="9" xfId="0" applyFont="1" applyFill="1" applyBorder="1" applyAlignment="1">
      <alignment horizontal="center" vertical="center"/>
    </xf>
    <xf numFmtId="0" fontId="29" fillId="18" borderId="0" xfId="0" applyFont="1" applyFill="1" applyBorder="1" applyAlignment="1">
      <alignment horizontal="center" vertical="center"/>
    </xf>
    <xf numFmtId="0" fontId="29" fillId="18" borderId="9" xfId="0" applyFont="1" applyFill="1" applyBorder="1" applyAlignment="1">
      <alignment horizontal="right" vertical="center"/>
    </xf>
    <xf numFmtId="0" fontId="29" fillId="18" borderId="0" xfId="0" applyFont="1" applyFill="1" applyBorder="1" applyAlignment="1">
      <alignment horizontal="right" vertical="center"/>
    </xf>
    <xf numFmtId="0" fontId="29" fillId="18" borderId="7" xfId="0" applyFont="1" applyFill="1" applyBorder="1" applyAlignment="1">
      <alignment horizontal="right" vertical="center"/>
    </xf>
    <xf numFmtId="0" fontId="23" fillId="0" borderId="44" xfId="0" applyFont="1" applyFill="1" applyBorder="1" applyAlignment="1">
      <alignment horizontal="center" vertical="center"/>
    </xf>
    <xf numFmtId="165" fontId="20" fillId="0" borderId="61" xfId="0" applyNumberFormat="1" applyFont="1" applyFill="1" applyBorder="1" applyAlignment="1">
      <alignment horizontal="center" vertical="center"/>
    </xf>
    <xf numFmtId="165" fontId="20" fillId="0" borderId="45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horizontal="right" vertical="center"/>
    </xf>
    <xf numFmtId="0" fontId="21" fillId="0" borderId="22" xfId="0" applyFont="1" applyBorder="1" applyAlignment="1">
      <alignment horizontal="right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165" fontId="20" fillId="0" borderId="31" xfId="0" applyNumberFormat="1" applyFont="1" applyFill="1" applyBorder="1" applyAlignment="1">
      <alignment horizontal="center" vertical="center"/>
    </xf>
    <xf numFmtId="165" fontId="21" fillId="51" borderId="20" xfId="0" applyNumberFormat="1" applyFont="1" applyFill="1" applyBorder="1" applyAlignment="1">
      <alignment horizontal="center" vertical="center"/>
    </xf>
    <xf numFmtId="165" fontId="21" fillId="51" borderId="30" xfId="0" applyNumberFormat="1" applyFont="1" applyFill="1" applyBorder="1" applyAlignment="1">
      <alignment horizontal="center" vertical="center"/>
    </xf>
    <xf numFmtId="165" fontId="20" fillId="0" borderId="47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65" fontId="20" fillId="0" borderId="62" xfId="0" applyNumberFormat="1" applyFont="1" applyFill="1" applyBorder="1" applyAlignment="1">
      <alignment horizontal="center" vertical="center"/>
    </xf>
    <xf numFmtId="165" fontId="20" fillId="0" borderId="58" xfId="0" applyNumberFormat="1" applyFont="1" applyFill="1" applyBorder="1" applyAlignment="1">
      <alignment horizontal="center" vertical="center"/>
    </xf>
    <xf numFmtId="0" fontId="23" fillId="0" borderId="5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51" borderId="3" xfId="0" applyFont="1" applyFill="1" applyBorder="1" applyAlignment="1">
      <alignment horizontal="left" vertical="center"/>
    </xf>
    <xf numFmtId="0" fontId="21" fillId="51" borderId="4" xfId="0" applyFont="1" applyFill="1" applyBorder="1" applyAlignment="1">
      <alignment horizontal="left" vertical="center"/>
    </xf>
    <xf numFmtId="0" fontId="21" fillId="51" borderId="2" xfId="0" applyFont="1" applyFill="1" applyBorder="1" applyAlignment="1">
      <alignment horizontal="left" vertical="center"/>
    </xf>
    <xf numFmtId="0" fontId="21" fillId="6" borderId="3" xfId="0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 vertical="center"/>
    </xf>
    <xf numFmtId="0" fontId="30" fillId="5" borderId="4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50" borderId="3" xfId="0" applyFont="1" applyFill="1" applyBorder="1" applyAlignment="1" applyProtection="1">
      <alignment horizontal="center" vertical="center"/>
      <protection locked="0"/>
    </xf>
    <xf numFmtId="0" fontId="21" fillId="50" borderId="2" xfId="0" applyFont="1" applyFill="1" applyBorder="1" applyAlignment="1" applyProtection="1">
      <alignment horizontal="center" vertical="center"/>
      <protection locked="0"/>
    </xf>
    <xf numFmtId="0" fontId="23" fillId="0" borderId="60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0" fillId="0" borderId="9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21" fillId="0" borderId="3" xfId="0" applyFont="1" applyFill="1" applyBorder="1" applyAlignment="1">
      <alignment vertical="center"/>
    </xf>
    <xf numFmtId="0" fontId="21" fillId="0" borderId="4" xfId="0" applyFont="1" applyFill="1" applyBorder="1" applyAlignment="1">
      <alignment vertical="center"/>
    </xf>
    <xf numFmtId="10" fontId="21" fillId="0" borderId="4" xfId="0" applyNumberFormat="1" applyFont="1" applyFill="1" applyBorder="1" applyAlignment="1">
      <alignment horizontal="center" vertical="center"/>
    </xf>
    <xf numFmtId="10" fontId="21" fillId="0" borderId="2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20" fillId="0" borderId="30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0" fillId="0" borderId="1" xfId="0" applyFont="1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34" fillId="15" borderId="1" xfId="0" applyFont="1" applyFill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0" fontId="27" fillId="49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right" vertical="center"/>
    </xf>
    <xf numFmtId="0" fontId="29" fillId="18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5" fillId="14" borderId="1" xfId="0" applyFont="1" applyFill="1" applyBorder="1" applyAlignment="1">
      <alignment horizontal="center" vertical="center"/>
    </xf>
    <xf numFmtId="0" fontId="27" fillId="40" borderId="1" xfId="0" applyFont="1" applyFill="1" applyBorder="1" applyAlignment="1">
      <alignment horizontal="center" vertical="center"/>
    </xf>
    <xf numFmtId="0" fontId="27" fillId="43" borderId="3" xfId="0" applyFont="1" applyFill="1" applyBorder="1" applyAlignment="1">
      <alignment horizontal="center" vertical="center"/>
    </xf>
    <xf numFmtId="0" fontId="27" fillId="43" borderId="4" xfId="0" applyFont="1" applyFill="1" applyBorder="1" applyAlignment="1">
      <alignment horizontal="center" vertical="center"/>
    </xf>
    <xf numFmtId="0" fontId="27" fillId="43" borderId="2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50" borderId="3" xfId="0" applyFont="1" applyFill="1" applyBorder="1" applyAlignment="1">
      <alignment horizontal="center" vertical="center"/>
    </xf>
    <xf numFmtId="0" fontId="21" fillId="50" borderId="4" xfId="0" applyFont="1" applyFill="1" applyBorder="1" applyAlignment="1">
      <alignment horizontal="center" vertical="center"/>
    </xf>
    <xf numFmtId="0" fontId="21" fillId="50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23" fillId="31" borderId="1" xfId="0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165" fontId="20" fillId="0" borderId="3" xfId="0" applyNumberFormat="1" applyFont="1" applyBorder="1" applyAlignment="1">
      <alignment horizontal="center" vertical="center"/>
    </xf>
    <xf numFmtId="165" fontId="20" fillId="0" borderId="4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165" fontId="20" fillId="0" borderId="17" xfId="0" applyNumberFormat="1" applyFont="1" applyBorder="1" applyAlignment="1">
      <alignment horizontal="center" vertical="center"/>
    </xf>
    <xf numFmtId="165" fontId="20" fillId="0" borderId="10" xfId="0" applyNumberFormat="1" applyFont="1" applyBorder="1" applyAlignment="1">
      <alignment horizontal="center" vertical="center"/>
    </xf>
    <xf numFmtId="165" fontId="20" fillId="0" borderId="6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0" fontId="20" fillId="0" borderId="4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10" fontId="20" fillId="51" borderId="1" xfId="0" applyNumberFormat="1" applyFont="1" applyFill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9" xfId="0" applyFont="1" applyBorder="1" applyAlignment="1">
      <alignment horizontal="right" vertical="center"/>
    </xf>
    <xf numFmtId="0" fontId="20" fillId="0" borderId="29" xfId="0" applyFont="1" applyBorder="1" applyAlignment="1">
      <alignment horizontal="right" vertical="center"/>
    </xf>
    <xf numFmtId="0" fontId="37" fillId="0" borderId="1" xfId="0" applyFont="1" applyBorder="1" applyAlignment="1">
      <alignment horizontal="right" vertical="center" wrapText="1"/>
    </xf>
    <xf numFmtId="4" fontId="29" fillId="18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right" vertical="center"/>
    </xf>
    <xf numFmtId="0" fontId="23" fillId="42" borderId="1" xfId="0" applyFont="1" applyFill="1" applyBorder="1" applyAlignment="1">
      <alignment horizontal="right" vertical="center"/>
    </xf>
    <xf numFmtId="10" fontId="20" fillId="0" borderId="1" xfId="0" applyNumberFormat="1" applyFont="1" applyBorder="1" applyAlignment="1">
      <alignment horizontal="center" vertical="center"/>
    </xf>
    <xf numFmtId="0" fontId="29" fillId="38" borderId="1" xfId="0" applyFont="1" applyFill="1" applyBorder="1" applyAlignment="1">
      <alignment horizontal="right" vertical="center" wrapText="1"/>
    </xf>
    <xf numFmtId="0" fontId="29" fillId="18" borderId="1" xfId="0" applyFont="1" applyFill="1" applyBorder="1" applyAlignment="1">
      <alignment horizontal="right" vertical="center"/>
    </xf>
    <xf numFmtId="0" fontId="23" fillId="28" borderId="3" xfId="0" applyFont="1" applyFill="1" applyBorder="1" applyAlignment="1">
      <alignment horizontal="center" vertical="center" wrapText="1"/>
    </xf>
    <xf numFmtId="0" fontId="23" fillId="28" borderId="2" xfId="0" applyFont="1" applyFill="1" applyBorder="1" applyAlignment="1">
      <alignment horizontal="center" vertical="center" wrapText="1"/>
    </xf>
    <xf numFmtId="0" fontId="18" fillId="10" borderId="19" xfId="0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8" fillId="11" borderId="19" xfId="0" applyFont="1" applyFill="1" applyBorder="1" applyAlignment="1">
      <alignment horizontal="center" vertical="center"/>
    </xf>
    <xf numFmtId="0" fontId="18" fillId="11" borderId="18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8" fillId="12" borderId="19" xfId="0" applyFont="1" applyFill="1" applyBorder="1" applyAlignment="1">
      <alignment horizontal="center" vertical="center"/>
    </xf>
    <xf numFmtId="0" fontId="18" fillId="12" borderId="18" xfId="0" applyFont="1" applyFill="1" applyBorder="1" applyAlignment="1">
      <alignment horizontal="center" vertical="center"/>
    </xf>
    <xf numFmtId="0" fontId="18" fillId="12" borderId="29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41" fillId="18" borderId="4" xfId="0" applyFont="1" applyFill="1" applyBorder="1" applyAlignment="1">
      <alignment horizontal="center" vertical="center"/>
    </xf>
    <xf numFmtId="0" fontId="38" fillId="0" borderId="33" xfId="0" applyFont="1" applyBorder="1" applyAlignment="1">
      <alignment horizontal="center" vertical="center" textRotation="90"/>
    </xf>
    <xf numFmtId="0" fontId="38" fillId="0" borderId="47" xfId="0" applyFont="1" applyBorder="1" applyAlignment="1">
      <alignment horizontal="center" vertical="center" textRotation="90"/>
    </xf>
    <xf numFmtId="0" fontId="38" fillId="0" borderId="32" xfId="0" applyFont="1" applyBorder="1" applyAlignment="1">
      <alignment horizontal="center" vertical="center" textRotation="90"/>
    </xf>
    <xf numFmtId="0" fontId="26" fillId="0" borderId="2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9" fillId="29" borderId="29" xfId="0" applyFont="1" applyFill="1" applyBorder="1" applyAlignment="1">
      <alignment horizontal="center" vertical="center" wrapText="1"/>
    </xf>
    <xf numFmtId="0" fontId="29" fillId="29" borderId="7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18" fillId="26" borderId="19" xfId="0" applyFont="1" applyFill="1" applyBorder="1" applyAlignment="1">
      <alignment horizontal="center" vertical="center"/>
    </xf>
    <xf numFmtId="0" fontId="18" fillId="26" borderId="18" xfId="0" applyFont="1" applyFill="1" applyBorder="1" applyAlignment="1">
      <alignment horizontal="center" vertical="center"/>
    </xf>
    <xf numFmtId="0" fontId="18" fillId="26" borderId="29" xfId="0" applyFont="1" applyFill="1" applyBorder="1" applyAlignment="1">
      <alignment horizontal="center"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18" fillId="27" borderId="29" xfId="0" applyFont="1" applyFill="1" applyBorder="1" applyAlignment="1">
      <alignment horizontal="center" vertical="center"/>
    </xf>
    <xf numFmtId="0" fontId="18" fillId="23" borderId="19" xfId="0" applyFont="1" applyFill="1" applyBorder="1" applyAlignment="1">
      <alignment horizontal="center" vertical="center"/>
    </xf>
    <xf numFmtId="0" fontId="18" fillId="23" borderId="18" xfId="0" applyFont="1" applyFill="1" applyBorder="1" applyAlignment="1">
      <alignment horizontal="center" vertical="center"/>
    </xf>
    <xf numFmtId="0" fontId="18" fillId="23" borderId="29" xfId="0" applyFont="1" applyFill="1" applyBorder="1" applyAlignment="1">
      <alignment horizontal="center" vertical="center"/>
    </xf>
    <xf numFmtId="0" fontId="18" fillId="24" borderId="19" xfId="0" applyFont="1" applyFill="1" applyBorder="1" applyAlignment="1">
      <alignment horizontal="center" vertical="center"/>
    </xf>
    <xf numFmtId="0" fontId="18" fillId="24" borderId="18" xfId="0" applyFont="1" applyFill="1" applyBorder="1" applyAlignment="1">
      <alignment horizontal="center" vertical="center"/>
    </xf>
    <xf numFmtId="0" fontId="18" fillId="24" borderId="29" xfId="0" applyFont="1" applyFill="1" applyBorder="1" applyAlignment="1">
      <alignment horizontal="center" vertical="center"/>
    </xf>
    <xf numFmtId="0" fontId="18" fillId="25" borderId="19" xfId="0" applyFont="1" applyFill="1" applyBorder="1" applyAlignment="1">
      <alignment horizontal="center" vertical="center"/>
    </xf>
    <xf numFmtId="0" fontId="18" fillId="25" borderId="18" xfId="0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41" fillId="18" borderId="2" xfId="0" applyFont="1" applyFill="1" applyBorder="1" applyAlignment="1">
      <alignment horizontal="center" vertical="center"/>
    </xf>
    <xf numFmtId="3" fontId="41" fillId="18" borderId="3" xfId="0" applyNumberFormat="1" applyFont="1" applyFill="1" applyBorder="1" applyAlignment="1">
      <alignment horizontal="right" vertical="center" wrapText="1"/>
    </xf>
    <xf numFmtId="3" fontId="41" fillId="18" borderId="2" xfId="0" applyNumberFormat="1" applyFont="1" applyFill="1" applyBorder="1" applyAlignment="1">
      <alignment horizontal="right" vertical="center" wrapText="1"/>
    </xf>
    <xf numFmtId="3" fontId="41" fillId="18" borderId="4" xfId="0" applyNumberFormat="1" applyFont="1" applyFill="1" applyBorder="1" applyAlignment="1">
      <alignment horizontal="right" vertical="center" wrapText="1"/>
    </xf>
    <xf numFmtId="0" fontId="18" fillId="11" borderId="4" xfId="0" applyFont="1" applyFill="1" applyBorder="1" applyAlignment="1">
      <alignment horizontal="center" vertical="center"/>
    </xf>
    <xf numFmtId="0" fontId="18" fillId="23" borderId="3" xfId="0" applyFont="1" applyFill="1" applyBorder="1" applyAlignment="1">
      <alignment horizontal="center" vertical="center"/>
    </xf>
    <xf numFmtId="0" fontId="18" fillId="23" borderId="4" xfId="0" applyFont="1" applyFill="1" applyBorder="1" applyAlignment="1">
      <alignment horizontal="center" vertical="center"/>
    </xf>
    <xf numFmtId="0" fontId="18" fillId="23" borderId="2" xfId="0" applyFont="1" applyFill="1" applyBorder="1" applyAlignment="1">
      <alignment horizontal="center" vertical="center"/>
    </xf>
    <xf numFmtId="0" fontId="18" fillId="24" borderId="3" xfId="0" applyFont="1" applyFill="1" applyBorder="1" applyAlignment="1">
      <alignment horizontal="center" vertical="center"/>
    </xf>
    <xf numFmtId="0" fontId="18" fillId="24" borderId="4" xfId="0" applyFont="1" applyFill="1" applyBorder="1" applyAlignment="1">
      <alignment horizontal="center" vertical="center"/>
    </xf>
    <xf numFmtId="0" fontId="18" fillId="24" borderId="2" xfId="0" applyFont="1" applyFill="1" applyBorder="1" applyAlignment="1">
      <alignment horizontal="center" vertical="center"/>
    </xf>
    <xf numFmtId="0" fontId="18" fillId="25" borderId="3" xfId="0" applyFont="1" applyFill="1" applyBorder="1" applyAlignment="1">
      <alignment horizontal="center" vertical="center"/>
    </xf>
    <xf numFmtId="0" fontId="18" fillId="25" borderId="4" xfId="0" applyFont="1" applyFill="1" applyBorder="1" applyAlignment="1">
      <alignment horizontal="center" vertical="center"/>
    </xf>
    <xf numFmtId="0" fontId="18" fillId="25" borderId="2" xfId="0" applyFont="1" applyFill="1" applyBorder="1" applyAlignment="1">
      <alignment horizontal="center" vertical="center"/>
    </xf>
    <xf numFmtId="0" fontId="18" fillId="26" borderId="3" xfId="0" applyFont="1" applyFill="1" applyBorder="1" applyAlignment="1">
      <alignment horizontal="center" vertical="center"/>
    </xf>
    <xf numFmtId="0" fontId="18" fillId="26" borderId="4" xfId="0" applyFont="1" applyFill="1" applyBorder="1" applyAlignment="1">
      <alignment horizontal="center" vertical="center"/>
    </xf>
    <xf numFmtId="0" fontId="18" fillId="26" borderId="2" xfId="0" applyFont="1" applyFill="1" applyBorder="1" applyAlignment="1">
      <alignment horizontal="center" vertical="center"/>
    </xf>
    <xf numFmtId="0" fontId="18" fillId="27" borderId="3" xfId="0" applyFont="1" applyFill="1" applyBorder="1" applyAlignment="1">
      <alignment horizontal="center" vertical="center"/>
    </xf>
    <xf numFmtId="0" fontId="18" fillId="27" borderId="4" xfId="0" applyFont="1" applyFill="1" applyBorder="1" applyAlignment="1">
      <alignment horizontal="center" vertical="center"/>
    </xf>
    <xf numFmtId="0" fontId="18" fillId="27" borderId="2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vertical="center" wrapText="1"/>
    </xf>
    <xf numFmtId="0" fontId="21" fillId="8" borderId="2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8" fillId="12" borderId="3" xfId="0" applyFont="1" applyFill="1" applyBorder="1" applyAlignment="1">
      <alignment horizontal="center" vertical="center"/>
    </xf>
    <xf numFmtId="0" fontId="18" fillId="12" borderId="4" xfId="0" applyFont="1" applyFill="1" applyBorder="1" applyAlignment="1">
      <alignment horizontal="center" vertical="center"/>
    </xf>
    <xf numFmtId="0" fontId="18" fillId="12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38" fillId="0" borderId="35" xfId="0" applyFont="1" applyBorder="1" applyAlignment="1">
      <alignment horizontal="center" vertical="center" textRotation="90"/>
    </xf>
    <xf numFmtId="0" fontId="38" fillId="0" borderId="36" xfId="0" applyFont="1" applyBorder="1" applyAlignment="1">
      <alignment horizontal="center" vertical="center" textRotation="90"/>
    </xf>
    <xf numFmtId="0" fontId="38" fillId="0" borderId="37" xfId="0" applyFont="1" applyBorder="1" applyAlignment="1">
      <alignment horizontal="center" vertical="center" textRotation="90"/>
    </xf>
    <xf numFmtId="165" fontId="20" fillId="0" borderId="1" xfId="0" applyNumberFormat="1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3" borderId="20" xfId="0" applyFont="1" applyFill="1" applyBorder="1" applyAlignment="1">
      <alignment horizontal="left" vertical="center"/>
    </xf>
    <xf numFmtId="0" fontId="21" fillId="3" borderId="5" xfId="0" applyFont="1" applyFill="1" applyBorder="1" applyAlignment="1">
      <alignment horizontal="left" vertical="center"/>
    </xf>
    <xf numFmtId="0" fontId="21" fillId="52" borderId="3" xfId="0" applyFont="1" applyFill="1" applyBorder="1" applyAlignment="1">
      <alignment horizontal="left" vertical="center"/>
    </xf>
    <xf numFmtId="0" fontId="21" fillId="52" borderId="4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165" fontId="21" fillId="0" borderId="1" xfId="0" applyNumberFormat="1" applyFont="1" applyBorder="1" applyAlignment="1">
      <alignment horizontal="center" vertical="center"/>
    </xf>
    <xf numFmtId="0" fontId="30" fillId="5" borderId="19" xfId="0" applyFont="1" applyFill="1" applyBorder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0" fontId="30" fillId="5" borderId="7" xfId="0" applyFont="1" applyFill="1" applyBorder="1" applyAlignment="1">
      <alignment horizontal="center" vertical="center"/>
    </xf>
    <xf numFmtId="0" fontId="23" fillId="8" borderId="19" xfId="0" applyFont="1" applyFill="1" applyBorder="1" applyAlignment="1">
      <alignment horizontal="center" vertical="center"/>
    </xf>
    <xf numFmtId="0" fontId="23" fillId="8" borderId="18" xfId="0" applyFont="1" applyFill="1" applyBorder="1" applyAlignment="1">
      <alignment horizontal="center" vertical="center"/>
    </xf>
    <xf numFmtId="0" fontId="23" fillId="8" borderId="29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3" fillId="8" borderId="1" xfId="0" applyFont="1" applyFill="1" applyBorder="1" applyAlignment="1">
      <alignment horizontal="center" vertical="center"/>
    </xf>
    <xf numFmtId="0" fontId="21" fillId="0" borderId="63" xfId="0" applyFont="1" applyBorder="1" applyAlignment="1">
      <alignment horizontal="left" vertical="center" wrapText="1"/>
    </xf>
    <xf numFmtId="10" fontId="21" fillId="51" borderId="1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52" borderId="19" xfId="0" applyFont="1" applyFill="1" applyBorder="1" applyAlignment="1">
      <alignment horizontal="left" vertical="center"/>
    </xf>
    <xf numFmtId="0" fontId="21" fillId="52" borderId="18" xfId="0" applyFont="1" applyFill="1" applyBorder="1" applyAlignment="1">
      <alignment horizontal="left" vertical="center"/>
    </xf>
    <xf numFmtId="0" fontId="21" fillId="0" borderId="2" xfId="0" applyFont="1" applyBorder="1" applyAlignment="1">
      <alignment horizontal="left" vertical="center" wrapText="1"/>
    </xf>
    <xf numFmtId="0" fontId="23" fillId="8" borderId="3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/>
    </xf>
    <xf numFmtId="0" fontId="30" fillId="5" borderId="18" xfId="0" applyFont="1" applyFill="1" applyBorder="1" applyAlignment="1">
      <alignment horizontal="center" vertical="center"/>
    </xf>
    <xf numFmtId="0" fontId="30" fillId="5" borderId="29" xfId="0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3" fillId="48" borderId="1" xfId="0" applyFont="1" applyFill="1" applyBorder="1" applyAlignment="1">
      <alignment horizontal="center" vertical="center"/>
    </xf>
    <xf numFmtId="0" fontId="23" fillId="48" borderId="17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165" fontId="20" fillId="0" borderId="29" xfId="0" applyNumberFormat="1" applyFont="1" applyBorder="1" applyAlignment="1">
      <alignment horizontal="center" vertical="center" wrapText="1"/>
    </xf>
    <xf numFmtId="165" fontId="20" fillId="0" borderId="30" xfId="0" applyNumberFormat="1" applyFont="1" applyBorder="1" applyAlignment="1">
      <alignment horizontal="center" vertical="center" wrapText="1"/>
    </xf>
    <xf numFmtId="0" fontId="21" fillId="52" borderId="2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5" fontId="20" fillId="0" borderId="17" xfId="0" applyNumberFormat="1" applyFont="1" applyBorder="1" applyAlignment="1">
      <alignment horizontal="center" vertical="center" wrapText="1"/>
    </xf>
    <xf numFmtId="165" fontId="20" fillId="0" borderId="6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30" fillId="5" borderId="19" xfId="0" applyFont="1" applyFill="1" applyBorder="1" applyAlignment="1">
      <alignment horizontal="center" vertical="center" wrapText="1"/>
    </xf>
    <xf numFmtId="0" fontId="30" fillId="5" borderId="18" xfId="0" applyFont="1" applyFill="1" applyBorder="1" applyAlignment="1">
      <alignment horizontal="center" vertical="center" wrapText="1"/>
    </xf>
    <xf numFmtId="0" fontId="30" fillId="5" borderId="29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3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49" fillId="44" borderId="1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49" fillId="44" borderId="3" xfId="0" applyFont="1" applyFill="1" applyBorder="1" applyAlignment="1">
      <alignment horizontal="center" vertical="center"/>
    </xf>
    <xf numFmtId="0" fontId="49" fillId="44" borderId="4" xfId="0" applyFont="1" applyFill="1" applyBorder="1" applyAlignment="1">
      <alignment horizontal="center" vertical="center"/>
    </xf>
    <xf numFmtId="0" fontId="49" fillId="44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7" fontId="24" fillId="0" borderId="3" xfId="0" applyNumberFormat="1" applyFont="1" applyBorder="1" applyAlignment="1">
      <alignment horizontal="center" vertical="center"/>
    </xf>
    <xf numFmtId="167" fontId="24" fillId="0" borderId="2" xfId="0" applyNumberFormat="1" applyFont="1" applyBorder="1" applyAlignment="1">
      <alignment horizontal="center" vertical="center"/>
    </xf>
    <xf numFmtId="10" fontId="24" fillId="0" borderId="3" xfId="0" applyNumberFormat="1" applyFont="1" applyBorder="1" applyAlignment="1">
      <alignment horizontal="center" vertical="center"/>
    </xf>
    <xf numFmtId="10" fontId="24" fillId="0" borderId="2" xfId="0" applyNumberFormat="1" applyFont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/>
    </xf>
    <xf numFmtId="0" fontId="24" fillId="32" borderId="1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3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32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23" fillId="16" borderId="3" xfId="0" applyFont="1" applyFill="1" applyBorder="1" applyAlignment="1">
      <alignment horizontal="center" vertical="center"/>
    </xf>
    <xf numFmtId="0" fontId="23" fillId="16" borderId="4" xfId="0" applyFont="1" applyFill="1" applyBorder="1" applyAlignment="1">
      <alignment horizontal="center" vertical="center"/>
    </xf>
    <xf numFmtId="0" fontId="23" fillId="16" borderId="2" xfId="0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right" vertical="center"/>
    </xf>
    <xf numFmtId="0" fontId="24" fillId="0" borderId="4" xfId="0" applyFont="1" applyFill="1" applyBorder="1" applyAlignment="1">
      <alignment horizontal="right" vertical="center"/>
    </xf>
    <xf numFmtId="0" fontId="24" fillId="0" borderId="2" xfId="0" applyFont="1" applyFill="1" applyBorder="1" applyAlignment="1">
      <alignment horizontal="right" vertical="center"/>
    </xf>
    <xf numFmtId="0" fontId="23" fillId="0" borderId="4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8" fillId="23" borderId="1" xfId="0" applyFont="1" applyFill="1" applyBorder="1" applyAlignment="1">
      <alignment horizontal="center" vertical="center"/>
    </xf>
    <xf numFmtId="0" fontId="18" fillId="24" borderId="1" xfId="0" applyFont="1" applyFill="1" applyBorder="1" applyAlignment="1">
      <alignment horizontal="center" vertical="center"/>
    </xf>
    <xf numFmtId="0" fontId="18" fillId="25" borderId="1" xfId="0" applyFont="1" applyFill="1" applyBorder="1" applyAlignment="1">
      <alignment horizontal="center" vertical="center"/>
    </xf>
    <xf numFmtId="0" fontId="18" fillId="26" borderId="1" xfId="0" applyFont="1" applyFill="1" applyBorder="1" applyAlignment="1">
      <alignment horizontal="center" vertical="center"/>
    </xf>
    <xf numFmtId="0" fontId="18" fillId="27" borderId="1" xfId="0" applyFont="1" applyFill="1" applyBorder="1" applyAlignment="1">
      <alignment horizontal="center" vertical="center"/>
    </xf>
    <xf numFmtId="0" fontId="27" fillId="43" borderId="34" xfId="0" applyFont="1" applyFill="1" applyBorder="1" applyAlignment="1">
      <alignment horizontal="center" vertical="center"/>
    </xf>
    <xf numFmtId="0" fontId="27" fillId="43" borderId="23" xfId="0" applyFont="1" applyFill="1" applyBorder="1" applyAlignment="1">
      <alignment horizontal="center" vertical="center"/>
    </xf>
    <xf numFmtId="0" fontId="27" fillId="43" borderId="61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right" vertical="center"/>
    </xf>
    <xf numFmtId="0" fontId="18" fillId="12" borderId="28" xfId="0" applyFont="1" applyFill="1" applyBorder="1" applyAlignment="1">
      <alignment horizontal="center" vertical="center"/>
    </xf>
    <xf numFmtId="0" fontId="38" fillId="0" borderId="65" xfId="0" applyFont="1" applyBorder="1" applyAlignment="1">
      <alignment horizontal="center" vertical="center" textRotation="90"/>
    </xf>
    <xf numFmtId="0" fontId="38" fillId="0" borderId="66" xfId="0" applyFont="1" applyBorder="1" applyAlignment="1">
      <alignment horizontal="center" vertical="center" textRotation="90"/>
    </xf>
    <xf numFmtId="0" fontId="38" fillId="0" borderId="67" xfId="0" applyFont="1" applyBorder="1" applyAlignment="1">
      <alignment horizontal="center" vertical="center" textRotation="90"/>
    </xf>
    <xf numFmtId="0" fontId="18" fillId="23" borderId="28" xfId="0" applyFont="1" applyFill="1" applyBorder="1" applyAlignment="1">
      <alignment horizontal="center" vertical="center"/>
    </xf>
    <xf numFmtId="0" fontId="18" fillId="24" borderId="28" xfId="0" applyFont="1" applyFill="1" applyBorder="1" applyAlignment="1">
      <alignment horizontal="center" vertical="center"/>
    </xf>
    <xf numFmtId="0" fontId="18" fillId="25" borderId="28" xfId="0" applyFont="1" applyFill="1" applyBorder="1" applyAlignment="1">
      <alignment horizontal="center" vertical="center"/>
    </xf>
    <xf numFmtId="0" fontId="18" fillId="26" borderId="28" xfId="0" applyFont="1" applyFill="1" applyBorder="1" applyAlignment="1">
      <alignment horizontal="center" vertical="center"/>
    </xf>
    <xf numFmtId="0" fontId="29" fillId="40" borderId="9" xfId="0" applyFont="1" applyFill="1" applyBorder="1" applyAlignment="1">
      <alignment horizontal="center" vertical="center"/>
    </xf>
    <xf numFmtId="0" fontId="29" fillId="40" borderId="0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 wrapText="1"/>
    </xf>
    <xf numFmtId="0" fontId="37" fillId="0" borderId="62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center" vertical="center" wrapText="1"/>
    </xf>
    <xf numFmtId="0" fontId="37" fillId="0" borderId="58" xfId="0" applyFont="1" applyFill="1" applyBorder="1" applyAlignment="1">
      <alignment horizontal="center" vertical="center" wrapText="1"/>
    </xf>
    <xf numFmtId="166" fontId="29" fillId="38" borderId="11" xfId="0" applyNumberFormat="1" applyFont="1" applyFill="1" applyBorder="1" applyAlignment="1">
      <alignment horizontal="center" vertical="center" wrapText="1"/>
    </xf>
    <xf numFmtId="166" fontId="29" fillId="38" borderId="62" xfId="0" applyNumberFormat="1" applyFont="1" applyFill="1" applyBorder="1" applyAlignment="1">
      <alignment horizontal="center" vertical="center" wrapText="1"/>
    </xf>
    <xf numFmtId="166" fontId="29" fillId="38" borderId="0" xfId="0" applyNumberFormat="1" applyFont="1" applyFill="1" applyBorder="1" applyAlignment="1">
      <alignment horizontal="center" vertical="center" wrapText="1"/>
    </xf>
    <xf numFmtId="166" fontId="29" fillId="38" borderId="31" xfId="0" applyNumberFormat="1" applyFont="1" applyFill="1" applyBorder="1" applyAlignment="1">
      <alignment horizontal="center" vertical="center" wrapText="1"/>
    </xf>
    <xf numFmtId="166" fontId="29" fillId="38" borderId="43" xfId="0" applyNumberFormat="1" applyFont="1" applyFill="1" applyBorder="1" applyAlignment="1">
      <alignment horizontal="center" vertical="center" wrapText="1"/>
    </xf>
    <xf numFmtId="166" fontId="29" fillId="38" borderId="58" xfId="0" applyNumberFormat="1" applyFont="1" applyFill="1" applyBorder="1" applyAlignment="1">
      <alignment horizontal="center" vertical="center" wrapText="1"/>
    </xf>
    <xf numFmtId="0" fontId="37" fillId="9" borderId="15" xfId="0" applyFont="1" applyFill="1" applyBorder="1" applyAlignment="1">
      <alignment horizontal="center" vertical="center" wrapText="1"/>
    </xf>
    <xf numFmtId="0" fontId="37" fillId="9" borderId="60" xfId="0" applyFont="1" applyFill="1" applyBorder="1" applyAlignment="1">
      <alignment horizontal="center" vertical="center" wrapText="1"/>
    </xf>
    <xf numFmtId="0" fontId="37" fillId="9" borderId="46" xfId="0" applyFont="1" applyFill="1" applyBorder="1" applyAlignment="1">
      <alignment horizontal="center" vertical="center" wrapText="1"/>
    </xf>
    <xf numFmtId="0" fontId="37" fillId="9" borderId="44" xfId="0" applyFont="1" applyFill="1" applyBorder="1" applyAlignment="1">
      <alignment horizontal="center" vertical="center" wrapText="1"/>
    </xf>
    <xf numFmtId="0" fontId="29" fillId="40" borderId="0" xfId="0" applyFont="1" applyFill="1" applyBorder="1" applyAlignment="1">
      <alignment horizontal="right" vertical="center" wrapText="1"/>
    </xf>
    <xf numFmtId="0" fontId="29" fillId="40" borderId="7" xfId="0" applyFont="1" applyFill="1" applyBorder="1" applyAlignment="1">
      <alignment horizontal="right" vertical="center" wrapText="1"/>
    </xf>
    <xf numFmtId="166" fontId="21" fillId="0" borderId="3" xfId="0" applyNumberFormat="1" applyFont="1" applyBorder="1" applyAlignment="1">
      <alignment horizontal="center" vertical="center" wrapText="1"/>
    </xf>
    <xf numFmtId="166" fontId="21" fillId="0" borderId="2" xfId="0" applyNumberFormat="1" applyFont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50" fillId="36" borderId="18" xfId="0" applyFont="1" applyFill="1" applyBorder="1" applyAlignment="1">
      <alignment horizontal="center" vertical="center" textRotation="90"/>
    </xf>
    <xf numFmtId="0" fontId="50" fillId="36" borderId="0" xfId="0" applyFont="1" applyFill="1" applyAlignment="1">
      <alignment horizontal="center" vertical="center" textRotation="90"/>
    </xf>
    <xf numFmtId="0" fontId="37" fillId="9" borderId="23" xfId="0" applyFont="1" applyFill="1" applyBorder="1" applyAlignment="1">
      <alignment horizontal="center" vertical="center" wrapText="1"/>
    </xf>
    <xf numFmtId="0" fontId="37" fillId="9" borderId="14" xfId="0" applyFont="1" applyFill="1" applyBorder="1" applyAlignment="1">
      <alignment horizontal="center" vertical="center" wrapText="1"/>
    </xf>
    <xf numFmtId="0" fontId="51" fillId="45" borderId="18" xfId="0" applyFont="1" applyFill="1" applyBorder="1" applyAlignment="1">
      <alignment horizontal="center" vertical="center"/>
    </xf>
    <xf numFmtId="0" fontId="51" fillId="45" borderId="29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52" fillId="14" borderId="8" xfId="0" applyFont="1" applyFill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26" fillId="14" borderId="21" xfId="0" applyFont="1" applyFill="1" applyBorder="1" applyAlignment="1">
      <alignment horizontal="center" vertical="center" wrapText="1"/>
    </xf>
    <xf numFmtId="0" fontId="26" fillId="14" borderId="22" xfId="0" applyFont="1" applyFill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textRotation="90"/>
    </xf>
    <xf numFmtId="0" fontId="37" fillId="0" borderId="36" xfId="0" applyFont="1" applyBorder="1" applyAlignment="1">
      <alignment horizontal="center" vertical="center" textRotation="90"/>
    </xf>
    <xf numFmtId="0" fontId="37" fillId="0" borderId="37" xfId="0" applyFont="1" applyBorder="1" applyAlignment="1">
      <alignment horizontal="center" vertical="center" textRotation="90"/>
    </xf>
    <xf numFmtId="0" fontId="37" fillId="37" borderId="39" xfId="0" applyFont="1" applyFill="1" applyBorder="1" applyAlignment="1">
      <alignment horizontal="center" vertical="center" wrapText="1"/>
    </xf>
    <xf numFmtId="0" fontId="37" fillId="37" borderId="40" xfId="0" applyFont="1" applyFill="1" applyBorder="1" applyAlignment="1">
      <alignment horizontal="center" vertical="center" wrapText="1"/>
    </xf>
    <xf numFmtId="0" fontId="37" fillId="37" borderId="55" xfId="0" applyFont="1" applyFill="1" applyBorder="1" applyAlignment="1">
      <alignment horizontal="center" vertical="center" wrapText="1"/>
    </xf>
    <xf numFmtId="165" fontId="28" fillId="0" borderId="9" xfId="0" applyNumberFormat="1" applyFont="1" applyBorder="1" applyAlignment="1">
      <alignment horizontal="right" vertical="center"/>
    </xf>
    <xf numFmtId="0" fontId="28" fillId="0" borderId="9" xfId="0" applyFont="1" applyBorder="1" applyAlignment="1">
      <alignment horizontal="right" vertical="center"/>
    </xf>
    <xf numFmtId="0" fontId="51" fillId="45" borderId="5" xfId="0" applyFont="1" applyFill="1" applyBorder="1" applyAlignment="1">
      <alignment horizontal="center" vertical="center" wrapText="1"/>
    </xf>
    <xf numFmtId="0" fontId="51" fillId="45" borderId="30" xfId="0" applyFont="1" applyFill="1" applyBorder="1" applyAlignment="1">
      <alignment horizontal="center" vertical="center" wrapText="1"/>
    </xf>
    <xf numFmtId="166" fontId="23" fillId="0" borderId="10" xfId="0" applyNumberFormat="1" applyFont="1" applyBorder="1" applyAlignment="1">
      <alignment horizontal="center" vertical="center" wrapText="1"/>
    </xf>
    <xf numFmtId="166" fontId="23" fillId="0" borderId="6" xfId="0" applyNumberFormat="1" applyFont="1" applyBorder="1" applyAlignment="1">
      <alignment horizontal="center" vertical="center" wrapText="1"/>
    </xf>
    <xf numFmtId="166" fontId="21" fillId="0" borderId="25" xfId="0" applyNumberFormat="1" applyFont="1" applyBorder="1" applyAlignment="1">
      <alignment horizontal="center" vertical="center" wrapText="1"/>
    </xf>
    <xf numFmtId="166" fontId="21" fillId="0" borderId="26" xfId="0" applyNumberFormat="1" applyFont="1" applyBorder="1" applyAlignment="1">
      <alignment horizontal="center" vertical="center" wrapText="1"/>
    </xf>
    <xf numFmtId="0" fontId="52" fillId="14" borderId="34" xfId="0" applyFont="1" applyFill="1" applyBorder="1" applyAlignment="1">
      <alignment horizontal="center" vertical="center" wrapText="1"/>
    </xf>
    <xf numFmtId="0" fontId="52" fillId="14" borderId="23" xfId="0" applyFont="1" applyFill="1" applyBorder="1" applyAlignment="1">
      <alignment horizontal="center" vertical="center" wrapText="1"/>
    </xf>
    <xf numFmtId="0" fontId="52" fillId="14" borderId="15" xfId="0" applyFont="1" applyFill="1" applyBorder="1" applyAlignment="1">
      <alignment horizontal="center" vertical="center" wrapText="1"/>
    </xf>
    <xf numFmtId="0" fontId="52" fillId="14" borderId="6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00000000-0005-0000-0000-000002000000}"/>
    <cellStyle name="Vírgula" xfId="2" builtinId="3"/>
  </cellStyles>
  <dxfs count="0"/>
  <tableStyles count="0" defaultTableStyle="TableStyleMedium2" defaultPivotStyle="PivotStyleLight16"/>
  <colors>
    <mruColors>
      <color rgb="FF0000FF"/>
      <color rgb="FF663300"/>
      <color rgb="FF800000"/>
      <color rgb="FF660033"/>
      <color rgb="FF993300"/>
      <color rgb="FF000066"/>
      <color rgb="FF003399"/>
      <color rgb="FFCCFFFF"/>
      <color rgb="FF66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9EB1113-BCE0-45F0-AD84-A11F63F3D45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3CCD3EE7-7794-4C9A-9D3B-4D67B332F4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81DBAB5-CDE9-419E-ADC2-BB4849DFDAC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57D1B3E0-4E2E-4082-A37F-DB7AF725955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552D81F7-BA1D-4FFE-AA83-36CCD92C550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64B458B2-F6F0-45C4-B26F-0A1CC0E5AE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6F4865F-F680-4C20-A998-D4CE3B4D52D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01D7F3F0-4188-4693-9E61-8D6EE417395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2FB9EAB4-3A81-479C-8880-D97C719EE4F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A72C8E87-41D7-4108-9848-981E76606FB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BDA94CCB-4D5D-4AE4-8ECA-057B32BDF20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1297512-902C-487C-A8BD-8AF7F8876CB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DC080A55-52F6-42A2-A969-AF6962F4A84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D84CD55E-9C8A-42D1-94C7-17DF61CA6D5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6ABB0874-FAFD-4CD8-81A1-E445CEB2F48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09DF2D8-8511-4168-9CEF-008071E2769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E403BA34-8D59-4B76-AE44-3D2E0758A28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6A74F526-304D-41E8-9159-CBB0687D64A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98B7D4FE-414A-44BA-9693-54842EEDB67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F589D1B1-7F26-4632-9A4B-17FD436F22C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1C19E4E0-13E4-4783-B8DC-343ADC0B205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41482137-866C-4C94-A1EA-6E24A5AA1F3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C0041CBF-453D-4E33-9CFC-13A823E2159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DDECE2B8-5663-42FA-9674-438E3020B03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733FC47-EEC0-40F7-87FB-5097759F07A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C56FCA82-E526-4753-8F7F-CB2F319C8DE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8B37111D-CFF2-4A24-B1D0-E8ABC5986CE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64CD6DB-DDAC-4EEB-B8C1-74B04F51FEA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B6747E98-2BD2-4412-8F49-C794EDF5735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A87A9BAF-940A-4599-80E5-0DD1339AA3C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2BFE74DB-9C6D-479C-B33B-8B27533A86E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CBD0689B-DE52-48A2-8D0C-8263A5BBB93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112610F9-B03D-49D1-9469-709286417EF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B3B7D20C-7D7B-47C0-A2AC-EB1BEB710A3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01698551-3CF4-4BD0-B8F6-BC5017B6B2D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7E3C220-208F-4828-A534-2059C15D0B2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9EDD508E-4BE9-464E-B6BC-9FF8336990C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0F456DE-0E7F-4309-8ADD-0E6ADC1E6D1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29E6DEB3-F35C-4DC4-8509-B5BC125C59C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EB830F13-274F-456C-B867-803120AB13B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DD53C01-11A0-4BB0-8644-7CB30C9CDE9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927F55B8-B7B1-4785-9B03-7858E2B5381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C1CC8EF0-73FB-4157-9366-59A92BF4539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5110EAF3-2308-445E-A9E3-EB1314066BA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2255551E-E5A5-463E-B9E8-383F814ED5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58F5E7C1-72C1-4154-BEDF-403B47D77AF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E6B890D0-9DF2-498B-BC8D-5A26FD8CFCF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86D42EB4-9804-4BE5-974B-303D225C7A8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BF48F710-A514-4090-8E33-4E216D7E026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35F9A722-67A2-4173-A823-49C247DCBCE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6E1ED908-E9C4-444E-9A6D-D935B032CA8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570624AD-F47B-47B6-855C-AB03536B1A0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B83D2562-6DF5-4E93-ACBC-C7D712C5865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B7D6D440-77C6-4422-AFCA-56F313236CF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4C20C8D0-0719-4758-A30E-2F66FB7619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A6288325-536E-41C3-9412-4F67A5F7EEB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F47505B-1EF0-4D1E-BC3A-A372EE1C6D7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E8B8811C-B754-434D-A475-07A5CE47DFE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C4EA131-847C-4F2A-A130-5DA5B87BF22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515E3E08-59FF-44BC-A21C-CE921D0427A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49CC0BA0-90CA-453B-B221-39EF6904B5F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BA1DDD2-D24D-487B-A2C0-835F18B64C9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C4C57B0E-A2DD-4F83-99B7-FBFAB927E24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74C06402-C694-48E4-A117-F5206F6448D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61E59455-AC85-43A2-832A-DF9872A46B9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54CE1472-0E13-4706-89AE-94B3853BBCE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6EBE2B1D-8941-4C77-942E-8F6F7DDA87F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CEA9D0B5-826B-46EA-AC56-CB038482C59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9D8E6C82-E348-4494-A4F3-BCF304648E6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EEE955BE-5969-4A4D-ABA2-ECCC176A971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45B8151E-7422-4CC9-BAA3-975900A0232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9938D6C9-C339-4D1B-A6E5-14CA66646D7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6D3EBA41-69D8-46BC-8876-FB8EA7F6703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62E422E-EC06-49F7-9B68-A6756993DA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8C61E1FA-CFF9-4B83-B9DE-61053D8C3D0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7722CE2-5454-47A3-99F2-56E5E44FB5B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340711A6-C253-482F-AAC8-BBD141385BB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616F2A7-76EF-4E59-9B3D-CFF836D6108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E6263D85-B76F-4603-8561-3B7DF8430B3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0A61AE75-53BF-475B-A685-59D8C0B9F73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BEAA34A-BB02-4889-B318-65A0D68A0BE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110DC3AB-2AFA-4E16-B8F5-C5A59825139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C8BF3F59-4BE9-42B2-A4B3-1B6B5B997BA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62ED1DCA-CC70-4CD2-96C8-4CDA6AB43AD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1A660E41-654B-4F2A-8307-9BCB610A797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F3EAD699-6AD6-43B3-8B64-9E3FDB72A72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9844723C-C334-43EE-B656-31D10283D2B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F2B130A-582F-4764-9088-592561D30C7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70226BCA-8271-47AE-8106-3D0CFDC99A7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6C4223AB-DE82-402E-BF97-72D3F0783E8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CB3AB5BD-7BF8-4FE1-87F3-F09822E9DBB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B0171158-7800-431E-82EC-3D03B7D2D8D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815DE48C-389D-4C90-AB79-B3CE504D47A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0A5F20B2-DAE1-4CB0-ABE3-F0F732C00C2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8078BA14-3A41-4DE3-A130-93426D4EC7B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585015FC-D4DA-424F-A7D8-EC99046DA05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3BA7E2E6-EA13-4778-9FBD-7C277344D15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83817446-B559-482C-B480-EB1A35DCC74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CAAD122F-BB53-442E-9182-86EDE306DD5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97F43FE-A453-48B3-9FD3-7EF2826FBE0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33BC5AD0-FCFB-45FF-9BFE-A326754F45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8D84F307-9FA5-4476-B1DD-A457B08B590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0A8D7190-E258-49CC-8E12-34D67213A27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F6FBF5A9-3B69-49E3-80B4-9545A0D0290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06B8E83A-C02C-4CBB-8C7F-D9431E79227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874E4A0E-5C0F-464D-A845-523782AB6A5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3644CDA0-CA71-4B92-A0F2-75C1AB4B39D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B2A0E6EC-B3EA-44DD-B422-8BF1EF7C15F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EFBF320E-49C5-4009-8A77-9744212EAD7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82A26C1B-C784-4DD6-A1C8-3FBDA46ED13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31175B3-7D7F-413B-AB98-2224FDFC3DD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DC27B0DB-8DFA-4719-8FBB-4F78B721700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531E7B06-C3D7-4B5A-97E1-9C6C14EF3F4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34CCA02B-17CF-44FD-B68A-5653B3B6BEB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93371D3E-E098-4C31-B1E4-3EC72B22B8C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ACAB809E-B1C0-4A11-BAC5-A22AFF53283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C4085F84-12E5-4BB2-A26E-E78E230B917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C43E12E8-93F4-439B-BC49-0BC070C9D24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2BCC872C-B4E0-4BDA-89CA-1A619207404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2BF3CF3-DA2A-45FB-A1AC-57F7354F153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A50305BB-E804-46DC-B964-140CD54D80E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1B2A0DB5-81F8-4DEA-A297-988090C4EC4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ECC4A3C5-EBAD-4E23-929B-44E3A4F1971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EC7EA4E8-B549-408B-8AE6-13EEAEC500D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EDBD6078-1620-4AB9-A13E-E339DD606AA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E1A597E5-CD13-4CBA-A330-2757287A54D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99757FAE-D00C-4304-AD2E-C100A49ED1D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95BBE77C-662C-41BE-B9AF-C4D70F0AE64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2C1C57AA-8C2F-4A82-AF1C-8BAE8D575FA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0B1223E0-7D74-4BF0-B79D-BD05555622B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0246F5C5-C48A-4544-800D-5A4D12E4042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3B854843-2CCB-42EB-A99D-8D3E4EA6195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22CCC04C-A44C-4194-8A0E-E9FC2F528D4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4E14C40B-E987-4B43-ADF2-81D38BE2766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367DAB80-0BA7-4B58-B03A-0614BD8EDED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72F557B9-F88F-48AB-BA8E-83F130B3FEE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C992DAA6-6B85-4C05-BC73-0D3D2B0119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289EB154-0634-4B9E-BF43-EEC55304732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E2292154-56E8-445A-962A-10FAE29A6D5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99C1A84-8905-4169-BDA3-5895BA8872B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C5B04AC-D68F-4B6A-9564-A3D4DAFAC23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A91D24C7-4CC3-4B5E-B799-2964A33C523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D83A0905-F99D-4B07-9C6C-3AA6429173E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B54C81E4-5AC3-4F0C-A99C-603865C79E8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AAD58D7-FF43-40D0-B75A-B1E38F06CFE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A9A31C6-510D-475F-BC94-6E5843BAFE7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B2F37789-ECE5-4627-B946-3244C1AFD9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A62C0BE-3000-423D-93A5-7393BCC93C2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BF2214F5-DF47-4D78-935E-07B89FAB04E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9D674D9E-8CFF-411C-A9B2-7BA23C635A8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5EBC4F69-A0AE-45F2-B1DF-FD07310F4E4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5FC1438B-BC7D-4C54-9ECC-0E47E5DEBC9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B8C1FD2A-5BB2-47DA-9AB4-15A3244E86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E3095935-27C4-40B4-A990-DEB2C465E2A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9D337F0-F5BB-4819-95F8-A24A49CD354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FAF41C09-52C1-45DB-ADD6-B19E34DAFDC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9F649088-C2E3-482A-9690-840C141FD0C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E827851-A1AC-4712-A591-6751CE3BF6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0C6C5C3A-453B-4B8D-B98F-36A20B12DB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A0C07AB0-8C14-4DC0-B0AA-BBB21AE1F9F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248C9CB0-AD0B-4848-99F6-AEE49B2696B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0BE4F6E8-12E6-42B8-AEB7-BE8103A23C8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6308CBEC-9406-4AB5-AEAC-8BDDA774D3B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6B8DF901-71E1-4C60-8590-6150E530354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BC026AC-4322-4B85-9212-F40D8C1C780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39B18BC3-8B12-4193-8088-CE03EA3F96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29D1B5B7-8A1B-4416-9450-344873F16D3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E1C7C30C-B6DD-44AA-A4EE-4CCD011124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AE6EA6B8-4699-48C6-9FD7-12E44477F16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FBFBDE70-45CF-4EA6-818C-2108E959C4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2D61B5BB-F06D-404D-A90C-9574D000146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6E64BF09-B87C-4058-82A4-1FBE21CD52C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5D827993-9943-48B8-920E-06DDCFD91D3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13CCDFC3-2900-4284-A1C3-889CF8CE6B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AE8E314B-F5D3-4173-ADB5-99D2BB3151F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C726CA3E-5DB2-4E63-99E7-FBD0B3DC09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2C5C205E-939F-429A-98E6-B0DCCB4DEA2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B8263788-6707-4B45-8AA2-FDAB0067961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45AB3E81-9A69-4C6B-9616-EED71C846B8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975C423-4C96-41D2-BFE7-06ACC01E881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7479142-BDAD-4A0C-95CF-A775857688F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274EB433-C5E4-405C-AF4A-85BB01B2817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20529627-7279-4ED8-96D5-3F29EFC859C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296B3CE2-878F-4296-ABFB-2C642F8E57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5DBB0813-1864-493F-A752-AC4356EE5F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0117F636-65E3-4A46-A2F6-318637FBDC4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9FBA47BB-78EC-4FCF-9817-46598766B91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0B78437B-60DE-4BC5-B01F-A7C085C759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D13AE1B6-42DE-4EC3-9BFF-CA03EC180DE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BF136186-7B49-4A61-A04F-741AADE080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5EC074D5-1593-4C2B-8C98-5CE49DA72E2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9E38C5BC-B076-43FE-AE30-23D19DD6F8E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834B845-E578-44F8-8435-E4E98478D81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C6E6E3DF-E381-40B1-B295-4412E41B4B3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2826E374-BA67-4115-ABFA-8426AF0272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E605D0D9-8741-4E53-B0F1-05C9CC5CEA5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C5CA26E-C5CC-4458-ADC3-B21728C765A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8F22641A-AFA9-4397-A684-59BD44B5E6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6198DE66-529A-48CB-811D-D45373CDEAF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87BFD4B2-D26A-49B8-950C-A5219221954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BF153A80-40DC-425F-85CC-15FF7E2147B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D63129AA-7405-43CB-B053-B690B805E64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0F06A57F-B4EE-4609-A887-00620C654D0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38E09F93-6215-4A89-8F71-4C6DF4D18AA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4D21F672-CC3A-43D9-852C-7513EE7EFDF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72016928-D9E6-4CCE-A2AB-8E16F6B481E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5E67F1E1-41AC-48D5-88E2-892740992DF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D446B93B-D7D6-4CCE-976C-FF03FFF9F26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D0A8E434-34D0-4563-8B30-9FCAAE0EDD8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7067A57F-7B8C-4127-B00E-8681843610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C85EF59A-8F51-42F4-8E70-813AA167841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11B0A6B5-EA24-416A-BB34-941406FF6B6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810880AA-5963-4DD6-BDB0-77803BAB861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427AE42E-0D06-4E23-AA72-999A985A681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590E7C41-7803-479B-8191-5C8C0A04D8B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548ED81F-5E89-4D90-B85A-E61EE9BC50A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E26CCBB3-AE4F-4C5C-BFE0-C952BF3D9D0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5FEAE3AE-6FBC-43B3-BB0C-B4CEEDD9ADB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D5BD0E92-F9CC-4093-A738-0A51D329783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93427964-2DD0-4FE5-B185-8F5D285696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92F61196-B77C-4160-B478-77EBC4933EA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2A87F5F3-9437-4DAA-8EB2-AF022E1DCD0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D541FB90-4AD6-476B-A921-200C69DBAC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4897F7E2-3977-4028-B7A1-59A0D2B65BE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D0483176-62CD-49D2-B0E0-BBAD7DD0BB8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9C34897C-69E8-4EE2-9051-0479099C30C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B34DE0EF-3991-459E-B862-07FAD3A26D3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C6117F1D-69A2-4F9A-8AFB-D220E8C5137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370A20BC-526C-4F7F-820A-70CF2D89B90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716F9ACA-DE6D-4FF8-AB38-B0928958C3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D46F1893-77B4-4E6D-A1B7-46610F92A7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D2F12071-4615-44EB-BD9D-21695512151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07468123-91BC-47A8-ACCB-2E8E24EFA23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7E430E26-7F19-4212-93B8-080FB86D136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FCCA6A2D-F95B-47C4-ACF0-4F994B1290D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DA1C42E6-7B14-4ED2-B4CA-071B62C85AC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F2A7973E-40E1-410F-ADD7-46049AF12B5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CA6C191E-F3A4-4B10-AB80-0E3451FCCC2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D2705AA8-0F4C-4328-BB8A-F21A91E1BF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C06F8287-86B5-44CE-BEB4-3487CB231D4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B6C66C2C-7065-414D-A109-69D7C7A7E9B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C8057EBC-080A-459F-BA01-DA032565E9B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AFA00263-0CC1-46D1-90D4-363D4F3137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65BFA572-BB09-4ED1-90D2-8EDE38264E7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5152CEB0-7D25-45DA-8EA0-88726833C5F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4F1A439D-0DC2-4AD1-8A2E-5B33EC6D419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E225496A-5251-4394-AAA7-4B75EB9C718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89DFD111-4688-4F1A-BB4E-E0A7428FB06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C5741D2D-EE9B-4942-A1F5-2C461A499DC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4F449933-C988-42E9-9036-15644FEF08E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7D17244C-430F-4337-9ADA-07FBE3CF59C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1F39B442-11C5-446D-9ABC-D7829206734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CEAED6E2-0475-431B-A3D5-C7FE1F55736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2C7DE69B-664E-4F52-BB07-9B37DAAC137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7F9D9B76-28CB-4420-944D-D75FE933CE8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22305EF2-E597-4B99-89C2-703D9A964F6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2F311DBB-69EE-467F-BA14-6140BD40FD3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B11A7932-D3B6-43AE-ADAF-EE3F7891480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73E61963-F793-40F7-A808-A2107D39D75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772E4107-57AD-4E2B-9B47-4A064EAE678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03DB3C79-991A-45E5-A83D-27D1BEE1CCE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E4D9FC16-DA62-4812-8D65-AC0C0C078D4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2816E41A-F985-4CA1-A45A-8F9464D2754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489BD653-54C0-4235-8D8F-CBE37DB7EC5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FB491FBB-D238-444A-9441-DB723E79745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3B775A07-ECC7-4AC8-9C64-6E67D277015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2836B7D5-B5D3-405E-A061-CB8505670F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C16ECBC4-C196-42A5-B4A5-35C0E6DADFE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5A5ED915-8695-4774-B435-2F2187D9FB3B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C997E65C-4869-4E9B-BB87-3A6749AD0AE0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1B8E3BAD-0354-4A3E-ACC3-3761D4A49C71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826E445-30DF-4103-9CFC-E18E59F3D901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C34C1DE5-BFF4-4A42-8B2A-E98A017AD2BA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6C6ABE3D-7ED0-4976-A2A2-5254CB376821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38C24330-77B3-460A-B0D3-B99F8BFC79FA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7A361F5C-0E31-465F-AD18-FB3E531D0668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EA065B9E-D570-4671-969B-831923B378F3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C7A275-3519-4B78-80A8-D15D93E5843B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EF1C67DF-7FC2-45E5-A605-A92253948C0B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DCB68FFB-DF2A-4276-AE17-759E8C053CCD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20FCDD72-F7C5-4EA7-8A14-20414503C06D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9C6C4341-4272-47DC-8EDD-E78C3FD74482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1262A6C2-830D-45D2-995D-7860A7C3F315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91865556-3CBF-4DE3-A6B1-2EE82BFE847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FED2565C-B514-4E01-B2B2-3C6BF4E9E497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1153E514-DC2E-4496-9855-FA044CDD4A69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C73C31D1-DD6E-466B-9AF1-1971F793E24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2A9F6C46-7EE1-49E0-86BF-A0D04D976265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8072EAC5-3EB3-4936-9310-5DB541765BD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833D0D8E-2719-46DB-AAC1-B2BAF81D4334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4D207439-4CFE-4E8A-B9A9-3A610D2AFF38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4449BD1-B725-4C56-B983-0D2E44DEC55A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5A24EF01-6910-4A2A-BDAC-11BA09043608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ADD336BC-A80B-4212-BE48-07960D7F1946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99034D48-419F-4EA4-9683-59436F6E4F26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8C6A07D6-25DE-4A6C-90B6-05D12D95F381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F3ADF698-C234-44E6-BE0B-8B010DB42419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2F9BA1E6-7060-4588-971D-417A601F741E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B0B91860-572F-4AE9-8280-ACAC38F2D113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9C17AFB9-D7CA-4522-B4A0-BACE1F688C98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172BB98A-FF26-4E5D-BC69-E14CC065D3F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5419C55B-9219-4A7A-90CA-25FDD18C2224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5A0D0BD0-B50A-4A98-B00E-739599FCF32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F2D0180D-A588-452C-A7F8-AF5F50A92C3B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C4BA8AA8-F843-495D-A001-48F8E9AD3ED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355FF805-11B7-4799-911C-96F8B7F3060A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BC62DCD5-B3F0-4FB6-AFD2-7E01C749417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4EAFD3B5-8702-4A46-9954-3CCF7B420F4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40175425-1679-4D50-B5A4-5991F244B4B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E1E67AEF-462C-418E-9B45-645314C2B39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5D111EF3-73F5-4CC4-BA80-0B5AA067027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96EAFAD4-9131-43A8-A86F-37E72C1EAB5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3A12BF2A-BE17-4806-8A80-B06E7043C20F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67A40128-C272-4B05-80EB-EF35F5B783E9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6E74FD0E-1766-4555-A349-A758EF23D17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84B91507-0A73-46B4-A9BA-015AC91C82FF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348B8B8D-7645-4D7A-868D-895AD3524557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804D06B-939F-49AA-BDBF-2C8A65DA1E99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3DDCAE2F-1550-40C0-9FD0-095B09899CD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4A0061B9-7479-496B-80D6-46420F502861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5579C8EC-D0C3-4DB1-9952-E223325EE310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EED2B9A7-E469-46DF-847D-431370E9A2CF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C083535-5424-4698-809D-33B284ADF6F5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CA118669-4A10-4F62-9774-3B0EB6826DCD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322F6541-7AC4-48EC-B0AC-F5025F8A7613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20C54E8B-B4A3-4580-8307-30351062FD9C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CF4C72B6-F05B-4777-A4D0-43B94D6C773E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31FBB2F8-FF98-4CCB-8317-7C1152B47A88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3259599-5270-4FBD-ADC6-A854B5991074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F45A464A-7735-4C4D-8EE0-EF2D1448A240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4947EA2-C411-4873-AA32-562157FCD34D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279F1DB8-2580-4940-96C9-A9710A7B7632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CAEAE327-E9D6-4ADC-8266-DCB16B49B625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2A0047D5-C879-45E9-8C51-8C71B4D5A0F5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B77F0E4-B6D0-44D9-B794-A2569B04EFCA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8491B29E-C266-476D-A319-C00F008757BF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49E6F4E0-656C-4BFD-B9D2-D4B642B1A977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1C1A66F6-E38A-4BBC-9D56-6443BF793CF2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2712901-0303-4CBF-8110-4002E2C9105F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70E096EC-3294-41F4-AAAF-94389CD49CF2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CD66364-7529-4717-815A-662791805553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499D5CFD-B36C-4B50-ABE3-10D207EC70B4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9E7DFF17-3D60-48EE-AAD1-26CDEE19C786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B4BAEFBC-7379-48A0-9084-96D3CBDE11F3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F04FD020-485B-42E3-8EE3-FD804CE58331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91806156-6955-42E4-B6B5-04CF22CA90DF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9458DC67-915B-44D0-B9D1-99B67C7A67D7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1F19F6AD-0B38-4AE5-AA9A-22C80294C691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25F8B1FB-41C3-4169-96CA-429379257B7B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9A0BA677-8551-4875-96E8-BE53770BDEEE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C1813421-3DA0-4648-BC4B-23A3BC5893FD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AB84F708-A30A-4753-8B10-874C25C97915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E29C2096-66BA-421D-9ADB-E0AF059B1764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DDC29D52-EF99-49A7-B93B-2C00C669A5FB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EC7B5576-0769-4626-BFDB-5C73F1DB10F2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332F5C33-8B54-464A-BCD4-CC2B4FAA4688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8459EC01-37A1-412C-90BB-98F9AED5201E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37D26029-EF5C-4877-AB6B-28EB53ADDA62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EAEC0209-676C-4070-84BD-D43F1FB6AA87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EF0DAAC3-1674-40FA-801D-55CDD92194AC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602D97AB-8AB1-47A7-9C07-7DC96D667A39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92188275-C1CA-43B6-9038-C4398A3FCDF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B37C04BC-0FDA-4949-A059-9DCD66CA74D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C63573E7-1166-4A52-9B9A-20EF1810DB2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0633960E-F0AD-422F-BC5E-FAC32263756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B51357C4-88EE-418A-9235-4ED802A0F28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F010EC8D-0326-4020-8502-1CAA65C382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CBB8B42D-4F93-42FB-B08A-917FC5D1940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BB0A23F2-2E40-459F-B47E-1039DACAEF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F09FA2DE-4A07-4467-AAF4-E45CDF3FC23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71AF553E-1A63-4624-97F2-BA74CCD7B07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755008B0-E461-474C-B390-1E81D8737E2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0AA255BB-069C-4AF7-9038-34C9AD6A222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5EAB9F2E-3D00-496D-8775-12B26773CD0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D8B91719-7F6C-4B0D-9FAF-8AA2FE81E10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DBDDE04B-F1DC-4F6F-A84D-7EE9C27EC12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275520FD-7FC5-472D-BC7B-714365B0719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101AD470-CEFA-454E-BE36-DF0CB80F2F2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81FB4E06-E270-4660-BF64-D507E13818F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D0D2FFD3-CEC4-4A13-A847-923D2B432A9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0B98738A-C68D-48B0-80E1-9EB39BA9558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6C496911-3C7C-464B-B7C2-D46DEEDE7C4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150674FC-23C2-42EB-A361-7F3D4A1B279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7687147C-E929-40A4-A002-CB4185CD8CD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6764F28F-04DB-4863-A764-E2165F35193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46EA95F2-7B7B-40A3-ADB2-35121F8C716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0D80B5D2-DA44-4105-AE38-162FA649892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9C0FE10D-34F1-4F65-BC6A-5B80442EED8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992F653C-300B-4825-AAE6-485C3A69EA1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0C9FA7A9-36A5-4193-8D57-7424414C073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1D955DC8-853D-4136-8F23-EE0A7BD583B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F1CA9313-D4C7-496C-8C61-D986D31E8E9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D43DF9DA-2D44-4DAA-B5F0-A55DACEF43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A6AE5F51-5063-4E50-BA64-A852156B4AA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A6E107DC-3F05-4948-8867-E8644F3600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1DAEF96A-11CE-4628-B14E-DA6DC535D53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8683645C-7A0A-4C19-8124-EA7A9652E02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F1A64375-FCAC-4B3E-ABDF-81D1F2394DD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9B3CE251-16F2-47B9-8F59-4B7A44E96F9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2DBA5B9F-6A10-4A41-8742-C674B9EDCE3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D36FF021-E3E6-4D6A-87FE-DF227776332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D7F533D4-8D45-47C6-9F34-C34305518C2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0000CA0E-98B3-4334-B842-4BADD774CAC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6C18BA37-F836-4C9B-BF1D-AD46BE246BD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FA8D4C9E-0DA6-4E9A-A39B-6D4ABC01AB1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7776E7CC-B30E-44D4-AB73-2EE265F74BF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C3ADDCF9-DAF1-4BF9-827B-C4B88CDE258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D6DA6DAD-6F87-4173-BFC5-F4DFC0E6999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D1253A61-EB7B-42E1-AE20-AB872EB01FA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2E43D933-E595-4A67-8A03-1FD815EDEFA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ED2D7D21-3773-4258-9FDE-C9B963382FD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1E6525F1-63D6-4802-AF0F-1068A436E1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CC27FFB7-6512-4159-B9DA-60C0558E284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B92947F8-11E8-446D-B9F8-3A00DDF1739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B4910503-29BF-4891-9B68-A4C12662918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BC20BAB7-DA3B-400B-B631-6CC2701679C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B91F84E9-30F1-4927-8EF8-E5F6547DD76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3CEC7014-2AE3-4DA0-A4C9-3B7BDA1A991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4FCE860F-F725-4999-9EB7-55D4627E102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64F0ED33-E619-47D1-A470-0F66331F8B3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52128EFE-2112-4BFB-8C92-C1EA9A69A08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F6D407E3-7AFB-41FE-B340-5532391E27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6A6FDC1F-BA25-4081-B7CB-208FC0534FF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861CDA25-E50E-4CEE-BFB0-C11BB20A302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B3E732E7-C96A-4418-BD68-C070EA012C1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5D9D2F6D-966C-4984-9DB5-11EB85A33E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1BA78D32-5FC8-4E6E-A300-E1641F86EAA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E4C7C5E0-7001-4176-AF55-06EEBCF1BB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3" name="AutoShape 14">
          <a:extLst>
            <a:ext uri="{FF2B5EF4-FFF2-40B4-BE49-F238E27FC236}">
              <a16:creationId xmlns:a16="http://schemas.microsoft.com/office/drawing/2014/main" id="{5FEA646A-72B9-47EA-AB87-D3420094685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4" name="AutoShape 14">
          <a:extLst>
            <a:ext uri="{FF2B5EF4-FFF2-40B4-BE49-F238E27FC236}">
              <a16:creationId xmlns:a16="http://schemas.microsoft.com/office/drawing/2014/main" id="{950AC650-119B-4F54-AD31-DBAE249A3AE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5" name="AutoShape 14">
          <a:extLst>
            <a:ext uri="{FF2B5EF4-FFF2-40B4-BE49-F238E27FC236}">
              <a16:creationId xmlns:a16="http://schemas.microsoft.com/office/drawing/2014/main" id="{11AAE687-2A1F-418E-A186-C994BECA6DF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6" name="AutoShape 14">
          <a:extLst>
            <a:ext uri="{FF2B5EF4-FFF2-40B4-BE49-F238E27FC236}">
              <a16:creationId xmlns:a16="http://schemas.microsoft.com/office/drawing/2014/main" id="{E161A2DA-2EC3-4CA1-B65B-8DC2440C51C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7" name="AutoShape 14">
          <a:extLst>
            <a:ext uri="{FF2B5EF4-FFF2-40B4-BE49-F238E27FC236}">
              <a16:creationId xmlns:a16="http://schemas.microsoft.com/office/drawing/2014/main" id="{2C518A58-9AF4-43CB-BA70-427F92CE175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08" name="AutoShape 14">
          <a:extLst>
            <a:ext uri="{FF2B5EF4-FFF2-40B4-BE49-F238E27FC236}">
              <a16:creationId xmlns:a16="http://schemas.microsoft.com/office/drawing/2014/main" id="{A8F93F02-3650-4A1F-B321-DF5A4366DC7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09" name="AutoShape 14">
          <a:extLst>
            <a:ext uri="{FF2B5EF4-FFF2-40B4-BE49-F238E27FC236}">
              <a16:creationId xmlns:a16="http://schemas.microsoft.com/office/drawing/2014/main" id="{C6822AB0-B5DD-4DA1-BC26-33F483A2F51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0" name="AutoShape 14">
          <a:extLst>
            <a:ext uri="{FF2B5EF4-FFF2-40B4-BE49-F238E27FC236}">
              <a16:creationId xmlns:a16="http://schemas.microsoft.com/office/drawing/2014/main" id="{96840ADF-0E4F-4FFD-A289-B0A5BF710FB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1" name="AutoShape 14">
          <a:extLst>
            <a:ext uri="{FF2B5EF4-FFF2-40B4-BE49-F238E27FC236}">
              <a16:creationId xmlns:a16="http://schemas.microsoft.com/office/drawing/2014/main" id="{F244FFD9-1D0B-4A9E-B9FB-3B7DBD30B41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2" name="AutoShape 14">
          <a:extLst>
            <a:ext uri="{FF2B5EF4-FFF2-40B4-BE49-F238E27FC236}">
              <a16:creationId xmlns:a16="http://schemas.microsoft.com/office/drawing/2014/main" id="{C9DD5479-D2C0-4F3E-915D-5A41C690868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F88A2A03-09C3-470C-9640-F4797D000E1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14" name="AutoShape 14">
          <a:extLst>
            <a:ext uri="{FF2B5EF4-FFF2-40B4-BE49-F238E27FC236}">
              <a16:creationId xmlns:a16="http://schemas.microsoft.com/office/drawing/2014/main" id="{0D531AD9-C459-4CF1-8481-DC6D9ABE7CE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5" name="AutoShape 14">
          <a:extLst>
            <a:ext uri="{FF2B5EF4-FFF2-40B4-BE49-F238E27FC236}">
              <a16:creationId xmlns:a16="http://schemas.microsoft.com/office/drawing/2014/main" id="{159E5484-2788-4788-A0C5-1F6B7F07B7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6" name="AutoShape 14">
          <a:extLst>
            <a:ext uri="{FF2B5EF4-FFF2-40B4-BE49-F238E27FC236}">
              <a16:creationId xmlns:a16="http://schemas.microsoft.com/office/drawing/2014/main" id="{5F25549D-3C59-44DF-B754-F205C85FCEE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7" name="AutoShape 14">
          <a:extLst>
            <a:ext uri="{FF2B5EF4-FFF2-40B4-BE49-F238E27FC236}">
              <a16:creationId xmlns:a16="http://schemas.microsoft.com/office/drawing/2014/main" id="{62FCC3AA-AE1A-4D25-A6D8-E03574C153E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8" name="AutoShape 14">
          <a:extLst>
            <a:ext uri="{FF2B5EF4-FFF2-40B4-BE49-F238E27FC236}">
              <a16:creationId xmlns:a16="http://schemas.microsoft.com/office/drawing/2014/main" id="{101E26ED-75C5-47E7-8992-3BDA60893BC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9" name="AutoShape 14">
          <a:extLst>
            <a:ext uri="{FF2B5EF4-FFF2-40B4-BE49-F238E27FC236}">
              <a16:creationId xmlns:a16="http://schemas.microsoft.com/office/drawing/2014/main" id="{1B1A3F11-CAEA-44BF-AD1C-A066450C5BE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0" name="AutoShape 14">
          <a:extLst>
            <a:ext uri="{FF2B5EF4-FFF2-40B4-BE49-F238E27FC236}">
              <a16:creationId xmlns:a16="http://schemas.microsoft.com/office/drawing/2014/main" id="{85A26657-FBF0-4660-BFF7-0DC7C1E839E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1" name="AutoShape 14">
          <a:extLst>
            <a:ext uri="{FF2B5EF4-FFF2-40B4-BE49-F238E27FC236}">
              <a16:creationId xmlns:a16="http://schemas.microsoft.com/office/drawing/2014/main" id="{D93769B2-0AA4-4A3F-8454-55AF627473E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2" name="AutoShape 14">
          <a:extLst>
            <a:ext uri="{FF2B5EF4-FFF2-40B4-BE49-F238E27FC236}">
              <a16:creationId xmlns:a16="http://schemas.microsoft.com/office/drawing/2014/main" id="{1F17456D-8E75-480A-A238-E22401A6EE8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3" name="AutoShape 14">
          <a:extLst>
            <a:ext uri="{FF2B5EF4-FFF2-40B4-BE49-F238E27FC236}">
              <a16:creationId xmlns:a16="http://schemas.microsoft.com/office/drawing/2014/main" id="{B11BA704-DAE2-45D1-95AA-CEBCFD9B0CB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4" name="AutoShape 14">
          <a:extLst>
            <a:ext uri="{FF2B5EF4-FFF2-40B4-BE49-F238E27FC236}">
              <a16:creationId xmlns:a16="http://schemas.microsoft.com/office/drawing/2014/main" id="{1E6F27CA-8161-43A4-A429-C0D3EE5AB96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5" name="AutoShape 14">
          <a:extLst>
            <a:ext uri="{FF2B5EF4-FFF2-40B4-BE49-F238E27FC236}">
              <a16:creationId xmlns:a16="http://schemas.microsoft.com/office/drawing/2014/main" id="{1770CD51-C826-441F-8C3C-5D4286D22A8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6" name="AutoShape 14">
          <a:extLst>
            <a:ext uri="{FF2B5EF4-FFF2-40B4-BE49-F238E27FC236}">
              <a16:creationId xmlns:a16="http://schemas.microsoft.com/office/drawing/2014/main" id="{85460CD6-3F98-43FB-AAA3-4554347F0F9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7" name="AutoShape 14">
          <a:extLst>
            <a:ext uri="{FF2B5EF4-FFF2-40B4-BE49-F238E27FC236}">
              <a16:creationId xmlns:a16="http://schemas.microsoft.com/office/drawing/2014/main" id="{730B271E-7AB9-4199-8A8B-E388CB0996B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8" name="AutoShape 14">
          <a:extLst>
            <a:ext uri="{FF2B5EF4-FFF2-40B4-BE49-F238E27FC236}">
              <a16:creationId xmlns:a16="http://schemas.microsoft.com/office/drawing/2014/main" id="{9B76729C-2F1E-47AF-8153-8C1399C87D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9" name="AutoShape 14">
          <a:extLst>
            <a:ext uri="{FF2B5EF4-FFF2-40B4-BE49-F238E27FC236}">
              <a16:creationId xmlns:a16="http://schemas.microsoft.com/office/drawing/2014/main" id="{D3695D65-33BA-4F62-A801-11BB04E32E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0" name="AutoShape 14">
          <a:extLst>
            <a:ext uri="{FF2B5EF4-FFF2-40B4-BE49-F238E27FC236}">
              <a16:creationId xmlns:a16="http://schemas.microsoft.com/office/drawing/2014/main" id="{226BC1E8-49DE-41F8-9A78-B1E85321B84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1" name="AutoShape 14">
          <a:extLst>
            <a:ext uri="{FF2B5EF4-FFF2-40B4-BE49-F238E27FC236}">
              <a16:creationId xmlns:a16="http://schemas.microsoft.com/office/drawing/2014/main" id="{1EB46567-7C7C-4ABC-9B39-5EB7314BB57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2" name="AutoShape 14">
          <a:extLst>
            <a:ext uri="{FF2B5EF4-FFF2-40B4-BE49-F238E27FC236}">
              <a16:creationId xmlns:a16="http://schemas.microsoft.com/office/drawing/2014/main" id="{2483BAF3-B95D-43BB-9D3D-B06776A5B4E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3" name="AutoShape 14">
          <a:extLst>
            <a:ext uri="{FF2B5EF4-FFF2-40B4-BE49-F238E27FC236}">
              <a16:creationId xmlns:a16="http://schemas.microsoft.com/office/drawing/2014/main" id="{F1FA0765-1532-4F6E-AA3C-DE93A4734A8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4" name="AutoShape 14">
          <a:extLst>
            <a:ext uri="{FF2B5EF4-FFF2-40B4-BE49-F238E27FC236}">
              <a16:creationId xmlns:a16="http://schemas.microsoft.com/office/drawing/2014/main" id="{19CB5093-9E84-4F5C-BBCF-C67B847C662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5" name="AutoShape 14">
          <a:extLst>
            <a:ext uri="{FF2B5EF4-FFF2-40B4-BE49-F238E27FC236}">
              <a16:creationId xmlns:a16="http://schemas.microsoft.com/office/drawing/2014/main" id="{45D40B5B-DF08-4C6E-9230-28F2B4187A9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6" name="AutoShape 14">
          <a:extLst>
            <a:ext uri="{FF2B5EF4-FFF2-40B4-BE49-F238E27FC236}">
              <a16:creationId xmlns:a16="http://schemas.microsoft.com/office/drawing/2014/main" id="{14570326-7E3E-4930-800E-DEA2D9D232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7" name="AutoShape 14">
          <a:extLst>
            <a:ext uri="{FF2B5EF4-FFF2-40B4-BE49-F238E27FC236}">
              <a16:creationId xmlns:a16="http://schemas.microsoft.com/office/drawing/2014/main" id="{2A6FB949-8B5A-4061-B784-733CD187BC5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8" name="AutoShape 14">
          <a:extLst>
            <a:ext uri="{FF2B5EF4-FFF2-40B4-BE49-F238E27FC236}">
              <a16:creationId xmlns:a16="http://schemas.microsoft.com/office/drawing/2014/main" id="{4B965152-DFB7-4003-BCCC-81E14A63238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9" name="AutoShape 14">
          <a:extLst>
            <a:ext uri="{FF2B5EF4-FFF2-40B4-BE49-F238E27FC236}">
              <a16:creationId xmlns:a16="http://schemas.microsoft.com/office/drawing/2014/main" id="{6748E4BA-5AEF-4221-B66C-AF59ABE361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0" name="AutoShape 14">
          <a:extLst>
            <a:ext uri="{FF2B5EF4-FFF2-40B4-BE49-F238E27FC236}">
              <a16:creationId xmlns:a16="http://schemas.microsoft.com/office/drawing/2014/main" id="{F6725007-7C31-469D-8470-BBE7C517FE1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1" name="AutoShape 14">
          <a:extLst>
            <a:ext uri="{FF2B5EF4-FFF2-40B4-BE49-F238E27FC236}">
              <a16:creationId xmlns:a16="http://schemas.microsoft.com/office/drawing/2014/main" id="{8F147921-A6A9-420B-B628-989F1FC9260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2" name="AutoShape 14">
          <a:extLst>
            <a:ext uri="{FF2B5EF4-FFF2-40B4-BE49-F238E27FC236}">
              <a16:creationId xmlns:a16="http://schemas.microsoft.com/office/drawing/2014/main" id="{EA796211-66CC-499F-AD95-45081CDB5C6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3" name="AutoShape 14">
          <a:extLst>
            <a:ext uri="{FF2B5EF4-FFF2-40B4-BE49-F238E27FC236}">
              <a16:creationId xmlns:a16="http://schemas.microsoft.com/office/drawing/2014/main" id="{66F7C96E-EAE1-46F6-99E4-73B463B048F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4" name="AutoShape 14">
          <a:extLst>
            <a:ext uri="{FF2B5EF4-FFF2-40B4-BE49-F238E27FC236}">
              <a16:creationId xmlns:a16="http://schemas.microsoft.com/office/drawing/2014/main" id="{60211B58-E657-4428-B61C-6D7C71C7054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5" name="AutoShape 14">
          <a:extLst>
            <a:ext uri="{FF2B5EF4-FFF2-40B4-BE49-F238E27FC236}">
              <a16:creationId xmlns:a16="http://schemas.microsoft.com/office/drawing/2014/main" id="{91DAFCA9-0798-4136-9657-8DE2FF4BF5B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6" name="AutoShape 14">
          <a:extLst>
            <a:ext uri="{FF2B5EF4-FFF2-40B4-BE49-F238E27FC236}">
              <a16:creationId xmlns:a16="http://schemas.microsoft.com/office/drawing/2014/main" id="{EE3566F3-4F76-4BE2-878A-CA44718487E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7" name="AutoShape 14">
          <a:extLst>
            <a:ext uri="{FF2B5EF4-FFF2-40B4-BE49-F238E27FC236}">
              <a16:creationId xmlns:a16="http://schemas.microsoft.com/office/drawing/2014/main" id="{F2F58B22-666B-4AC4-843E-E7857A6190B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8" name="AutoShape 14">
          <a:extLst>
            <a:ext uri="{FF2B5EF4-FFF2-40B4-BE49-F238E27FC236}">
              <a16:creationId xmlns:a16="http://schemas.microsoft.com/office/drawing/2014/main" id="{2CB018C8-58CF-4720-A59D-8C19D5CCE7F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9" name="AutoShape 14">
          <a:extLst>
            <a:ext uri="{FF2B5EF4-FFF2-40B4-BE49-F238E27FC236}">
              <a16:creationId xmlns:a16="http://schemas.microsoft.com/office/drawing/2014/main" id="{74B2943D-F990-4906-9F11-B04A578D835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0" name="AutoShape 14">
          <a:extLst>
            <a:ext uri="{FF2B5EF4-FFF2-40B4-BE49-F238E27FC236}">
              <a16:creationId xmlns:a16="http://schemas.microsoft.com/office/drawing/2014/main" id="{23A44B6C-375B-48FC-B715-A78F6FD8EDB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1" name="AutoShape 14">
          <a:extLst>
            <a:ext uri="{FF2B5EF4-FFF2-40B4-BE49-F238E27FC236}">
              <a16:creationId xmlns:a16="http://schemas.microsoft.com/office/drawing/2014/main" id="{99BDE4F2-4C01-43B5-89EC-584FB9D0D29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2" name="AutoShape 14">
          <a:extLst>
            <a:ext uri="{FF2B5EF4-FFF2-40B4-BE49-F238E27FC236}">
              <a16:creationId xmlns:a16="http://schemas.microsoft.com/office/drawing/2014/main" id="{64226F52-E9B0-45C4-B4DE-074737F6C54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1EA17E7B-0FF0-4A6D-937A-942889CDBA7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54" name="AutoShape 14">
          <a:extLst>
            <a:ext uri="{FF2B5EF4-FFF2-40B4-BE49-F238E27FC236}">
              <a16:creationId xmlns:a16="http://schemas.microsoft.com/office/drawing/2014/main" id="{2C69E63A-CF18-47E0-81D5-E80A9ED6D51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5" name="AutoShape 14">
          <a:extLst>
            <a:ext uri="{FF2B5EF4-FFF2-40B4-BE49-F238E27FC236}">
              <a16:creationId xmlns:a16="http://schemas.microsoft.com/office/drawing/2014/main" id="{87F0A238-5222-49DE-8FEF-1FFE7308B4E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6" name="AutoShape 14">
          <a:extLst>
            <a:ext uri="{FF2B5EF4-FFF2-40B4-BE49-F238E27FC236}">
              <a16:creationId xmlns:a16="http://schemas.microsoft.com/office/drawing/2014/main" id="{5D860848-C5A1-41AA-B2B6-7E70AC3DC68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57" name="AutoShape 14">
          <a:extLst>
            <a:ext uri="{FF2B5EF4-FFF2-40B4-BE49-F238E27FC236}">
              <a16:creationId xmlns:a16="http://schemas.microsoft.com/office/drawing/2014/main" id="{92EB2260-BF30-4EF7-9EDA-C15DB44A75E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8" name="AutoShape 14">
          <a:extLst>
            <a:ext uri="{FF2B5EF4-FFF2-40B4-BE49-F238E27FC236}">
              <a16:creationId xmlns:a16="http://schemas.microsoft.com/office/drawing/2014/main" id="{4003740B-3EAC-49A1-B09A-96BF8003356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9" name="AutoShape 14">
          <a:extLst>
            <a:ext uri="{FF2B5EF4-FFF2-40B4-BE49-F238E27FC236}">
              <a16:creationId xmlns:a16="http://schemas.microsoft.com/office/drawing/2014/main" id="{1EA01111-917D-43C9-BA65-2E56AB89D78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0" name="AutoShape 14">
          <a:extLst>
            <a:ext uri="{FF2B5EF4-FFF2-40B4-BE49-F238E27FC236}">
              <a16:creationId xmlns:a16="http://schemas.microsoft.com/office/drawing/2014/main" id="{E4615A6B-80DE-40F5-917B-F4FAF0E886D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1" name="AutoShape 14">
          <a:extLst>
            <a:ext uri="{FF2B5EF4-FFF2-40B4-BE49-F238E27FC236}">
              <a16:creationId xmlns:a16="http://schemas.microsoft.com/office/drawing/2014/main" id="{A13174DD-9F02-4E14-B09A-7746B407159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2" name="AutoShape 14">
          <a:extLst>
            <a:ext uri="{FF2B5EF4-FFF2-40B4-BE49-F238E27FC236}">
              <a16:creationId xmlns:a16="http://schemas.microsoft.com/office/drawing/2014/main" id="{FFE51016-A621-46B3-87F5-2DB3C42C72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3" name="AutoShape 14">
          <a:extLst>
            <a:ext uri="{FF2B5EF4-FFF2-40B4-BE49-F238E27FC236}">
              <a16:creationId xmlns:a16="http://schemas.microsoft.com/office/drawing/2014/main" id="{1EB44179-41DA-462A-BD21-5903AF02CFC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4" name="AutoShape 14">
          <a:extLst>
            <a:ext uri="{FF2B5EF4-FFF2-40B4-BE49-F238E27FC236}">
              <a16:creationId xmlns:a16="http://schemas.microsoft.com/office/drawing/2014/main" id="{B2545597-AA81-4D40-9143-90D64E0A84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5" name="AutoShape 14">
          <a:extLst>
            <a:ext uri="{FF2B5EF4-FFF2-40B4-BE49-F238E27FC236}">
              <a16:creationId xmlns:a16="http://schemas.microsoft.com/office/drawing/2014/main" id="{DFAE6AF2-FD6F-4BC9-8E81-1FB29B1A670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6" name="AutoShape 14">
          <a:extLst>
            <a:ext uri="{FF2B5EF4-FFF2-40B4-BE49-F238E27FC236}">
              <a16:creationId xmlns:a16="http://schemas.microsoft.com/office/drawing/2014/main" id="{8F46B1EF-FB44-4890-B3BC-5B3D9EF8E96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7" name="AutoShape 14">
          <a:extLst>
            <a:ext uri="{FF2B5EF4-FFF2-40B4-BE49-F238E27FC236}">
              <a16:creationId xmlns:a16="http://schemas.microsoft.com/office/drawing/2014/main" id="{E3B93320-EC8B-4908-A6DB-E89379BC8D1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8" name="AutoShape 14">
          <a:extLst>
            <a:ext uri="{FF2B5EF4-FFF2-40B4-BE49-F238E27FC236}">
              <a16:creationId xmlns:a16="http://schemas.microsoft.com/office/drawing/2014/main" id="{03E6A1C0-DC0C-475D-8F68-036FB472F9B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69" name="AutoShape 14">
          <a:extLst>
            <a:ext uri="{FF2B5EF4-FFF2-40B4-BE49-F238E27FC236}">
              <a16:creationId xmlns:a16="http://schemas.microsoft.com/office/drawing/2014/main" id="{B362DF4C-B088-4CC1-995E-CBCBB87A3DD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1E97AC17-EE04-4836-BF35-57E27297CB7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0F37CEDB-11D5-4E66-BC76-4D0C46E77B8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A0DD54D5-E002-4968-81DF-22DF76C2085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DADAF772-814F-43C6-B5A1-56C6009C388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B973B00F-102E-42C5-B064-EE1EAA5F580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1E21FAF-91AE-4759-BE78-B398FE74102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9E34DF6B-7C71-4CEA-BD8F-676B07E5CB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328697EB-6F05-4C23-AB82-DDBCB935EBE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C5D4D70-EB91-4CB3-AE95-989F9616D9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AD2CE709-E1BC-4EEC-A55E-7187FBC0FDE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7DF9BA75-99F1-4AEE-A92D-1C1D626B399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63E5C46-050D-4BAE-9F96-8B8F94EDF98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F6463CF-EEDB-4DDC-AB1E-B820C6DB7E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4F8BD6F6-3B12-4BF8-B1DA-87A799237B6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2749E4C4-69A0-4013-BD61-E4FEA7060E8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62FD60A7-6FF8-4BA3-9C37-BFFBDD0EB69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5772624-FCEE-4436-8A42-F95690D248A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425B5A74-777C-48CC-A17A-4660FCC245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C413C57E-9288-4F55-85C9-FF7DF227D2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01E26660-CE86-478D-A0FF-24650F35DD9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84BB260-8281-4BAB-8FF1-A02473D7F26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62E39CD2-DBFF-4B38-97E5-41794333FF9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CED88354-58B1-440B-A9A0-BED276AAB94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94C3A911-7F3B-4047-B4D6-CC30DECE3E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1C030682-AF38-439E-95A6-9F70D88705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E1110DF-4CD6-4098-998D-C4BA08BF18F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F2626690-B6D6-40C7-BA72-75F759C4B7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DCE106B1-B1E3-4F5B-8D86-FA7855BF4B6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8DDA889E-2EFB-48A2-89E4-DF8D4B76B03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E926F95C-07F8-4F6D-8530-81B07AFECF4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4FF36C31-EB77-452D-9600-09BD0EC986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FD195874-D6EA-477D-9CEB-A652B836D8B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2306033-DA56-46C2-8516-CC871BFDD89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F2E3A0B2-C364-464B-9FDF-2FE68FF1DB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1BAF4C7C-1C19-4580-952D-37D77D56E1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5FFD701-22CE-4B82-A7D4-6EEDD8D73D92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477ECF6B-7F5E-4F05-9114-7FC5A6BCCF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CEE6719C-2204-4350-99CE-4CF438BAD40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35E5F725-E12E-4CB3-8BE6-6D97525602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98046595-EA4E-4907-8BC1-C14F27A80B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ADD4BD0-FC41-47FE-B8C7-15AA9EC3F70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86645DFD-2B63-4B00-BDF3-AFC1C529303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0934C617-B60B-4B4B-AE90-DA80CCF81BF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1BC8A25-419F-4FA9-9C15-9290F7376F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83E8A5F4-C6BE-4791-8ADA-D838B7605F9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C02A337B-45BE-406D-ACE9-467CA3C7AA8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6416F106-4927-4335-806E-DBFD7660962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E863BD3B-4889-46FD-BFE7-823E3C7297E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12FA188A-ED19-4098-85B2-25D134EBEB5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6497C624-3BF5-458E-8C49-1E6A5E6AD49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3A0D9077-0F2B-40BC-A056-C3F3CDBBAA8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CF80CED0-08F5-4AE0-9585-E30BF94143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47E64AC-495D-428E-9922-D7D6767FB43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531EDD2-F32F-429A-9CA9-7CEB9CB74CF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5054471E-9B6F-428A-8A3F-3C8133C5A1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3F322427-03E1-4B05-93D5-4C49D9AB972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03DA97FF-47E3-4842-9EC8-E85D499A0D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30A014CF-52B1-4449-97E4-EA77F66F290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7FCC5B2-03F1-4EF6-9567-654FE852C58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B542FAED-B9FE-46F0-B684-3DE1091DDE6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60135580-2842-4700-880C-235A069A72B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C8C9A05C-4DE6-4104-BAF6-41365CA13E1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3E76BAC-6D43-40B9-B14E-5D227BBCB3A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160BC4A0-C105-4FB6-A3FD-55628DBE7B1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A55010AE-FBBC-4BA1-9563-CBEF4FCA05F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F2DE2BA3-99CD-4A19-9C57-C86E1CC8F3D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19231846-7D94-4719-9F8C-4EB6C01BFF1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706DB281-1E66-4B55-9898-BB3359C9C1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B12092E8-AC4C-4374-B7FF-854F881C51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CD47384E-26C5-4F21-BAF8-95BD6C0C5A2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ADF42C98-B0E5-4B7B-B6EA-0FC5CA75F0F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44114B81-3A2F-496A-BD43-289B8394A51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6A58A016-4F5A-4EF2-B254-8189306F5DB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5A2182E6-505F-406F-A577-624B7C75139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DECF1431-DAC2-48EC-9CAA-E37F426802E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75C0F963-E041-4801-AB42-5FD6A9E4333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7F36DF2D-9B5B-4737-AAB0-B4C3E5D9C97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6490EEED-9398-485E-9202-50818E02933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F30A8637-5A94-49EE-AD09-1EAB60D4A45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31B9DED5-65AB-4865-9AC3-0BAA83D452F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10757C94-B9DF-4EDB-94F2-C214319CF50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BED21434-5C6D-4F0C-81A0-FCBCF8EC21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2F334DDA-4C45-444E-BDAF-2FD3C6685E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87204B7A-F0BC-40CD-A9AB-7C8642803C0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5AB19155-9B82-4119-9462-9DAB9338E17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4C84B989-93A7-4EE4-ABB4-E917581C9F1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A79AC7AA-D464-431B-B164-A5E4277A75A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49860509-FFEF-4FED-ADD0-7CEB2B4A25B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A7BF8B19-1148-413F-8D88-8C2F135ACF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2D93D022-4346-4F80-8D54-DA80CC4A53B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53AF1351-F1D7-430F-9CF0-23F4F5254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972FAD1B-C6B7-43E1-966D-3CFE2A50EC9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AD3106CD-27DC-41B5-A68D-55A56924DC1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5A08FFA5-B8C6-4DAC-A678-94F4E8B01B1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EB161624-7E79-4F86-A5C2-F908782C862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F4087C02-2883-43C0-8B9D-53D7D87CBEF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19F6B72C-4AF6-446A-8FB4-C42C849DC9D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B7247F0E-667B-4E2A-9A29-304608A75E4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2AD5B402-3546-44C1-A10E-F90EE6D2333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A0D68980-28F1-4C03-B0C0-39C8534F0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868E31B2-4862-4D8E-9132-3FF012CD8A0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9CCFBDBE-4D0E-440E-B7B4-17975DA603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659F5536-2646-4496-AA1F-ECDB23C9B2E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90328E74-86A5-46D0-BDFD-787D0D1EC87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B721113C-0486-4495-952E-AFEA4135FD2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02B49D60-6F84-4CC5-B8D7-899A15A04BB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0A2DAF13-D6D7-4F3A-BA4B-C9A879BC778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6F068CBE-E40E-43DE-8674-59E69E40D43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D9A73E9E-8FB9-4774-B1B3-43F5EBEC557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92223D4B-899F-4546-916D-7766F3DC8A9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898F40FF-6B23-4BAB-B446-144D42F144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23F9DBA5-322A-47BF-8139-D3085466CD8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520846FA-4C03-488D-8BE0-5B4092CEE79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8C9B3C00-8B2A-49D0-B1E4-6B3A006DD93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A7DD0206-C921-400E-998E-D747B862353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58968948-57E5-4C9D-BBD2-9E8F9405E06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D4DEF868-926F-4FB8-B20A-32E8F82AE13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0640CA51-863F-420E-B8EF-16A15E2F0AA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DE7ED6BF-A9D5-492A-B8AD-B857286714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AEF4A1CF-85C8-441B-99DE-EDA9B9FE77F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51E003D6-7E7C-4BE2-957C-60564663376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03F92245-8AF1-4216-829D-872A4DFAD85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90B7E9DA-77EA-4E71-BD44-560E9B52853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3FE41CA3-F718-4AE9-BB07-70A1A3EEBDB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48F110FD-DC51-4F9B-B510-A055A66F24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90E92ACE-A1FA-4F3E-8098-C31628E8ED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58C78C56-7D1C-4621-8852-58858AB67D3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125D47A2-70BE-42FD-A1A4-3865B746F7E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FB0D0084-8AB6-452A-A1A7-E766204FCC1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AD5F34BC-3FAD-48B9-B397-BC738671840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F4F4EB3B-0B18-4E89-AA8E-EB4198B49E7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BED52EC5-A59C-40F4-A855-1014E7BFB4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D03FE74A-A4FD-4C81-BEBE-20DC86EE7C7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383FFB05-BDBD-478B-A3A0-CF65BC306F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3" name="AutoShape 14">
          <a:extLst>
            <a:ext uri="{FF2B5EF4-FFF2-40B4-BE49-F238E27FC236}">
              <a16:creationId xmlns:a16="http://schemas.microsoft.com/office/drawing/2014/main" id="{3561BEB7-0374-4A05-A3F4-4BEF806BB8D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4" name="AutoShape 14">
          <a:extLst>
            <a:ext uri="{FF2B5EF4-FFF2-40B4-BE49-F238E27FC236}">
              <a16:creationId xmlns:a16="http://schemas.microsoft.com/office/drawing/2014/main" id="{B74438A1-9AA6-4656-A2CD-21DCFA974B6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5" name="AutoShape 14">
          <a:extLst>
            <a:ext uri="{FF2B5EF4-FFF2-40B4-BE49-F238E27FC236}">
              <a16:creationId xmlns:a16="http://schemas.microsoft.com/office/drawing/2014/main" id="{43F04D46-7692-4639-9D0A-A8776A7FC4C4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6" name="AutoShape 14">
          <a:extLst>
            <a:ext uri="{FF2B5EF4-FFF2-40B4-BE49-F238E27FC236}">
              <a16:creationId xmlns:a16="http://schemas.microsoft.com/office/drawing/2014/main" id="{DF73E517-97BB-4B1D-A870-CE92855FFA4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7" name="AutoShape 14">
          <a:extLst>
            <a:ext uri="{FF2B5EF4-FFF2-40B4-BE49-F238E27FC236}">
              <a16:creationId xmlns:a16="http://schemas.microsoft.com/office/drawing/2014/main" id="{18874DEC-1B4C-4712-8E5F-9396513A77B7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08" name="AutoShape 14">
          <a:extLst>
            <a:ext uri="{FF2B5EF4-FFF2-40B4-BE49-F238E27FC236}">
              <a16:creationId xmlns:a16="http://schemas.microsoft.com/office/drawing/2014/main" id="{C9D05603-576A-4AFB-B10C-C047436FB122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09" name="AutoShape 14">
          <a:extLst>
            <a:ext uri="{FF2B5EF4-FFF2-40B4-BE49-F238E27FC236}">
              <a16:creationId xmlns:a16="http://schemas.microsoft.com/office/drawing/2014/main" id="{45EA237D-8EC0-4D0B-897F-798C07D9A58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0" name="AutoShape 14">
          <a:extLst>
            <a:ext uri="{FF2B5EF4-FFF2-40B4-BE49-F238E27FC236}">
              <a16:creationId xmlns:a16="http://schemas.microsoft.com/office/drawing/2014/main" id="{46CBBC7F-95AE-4943-9DB7-CAD9F94C869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1" name="AutoShape 14">
          <a:extLst>
            <a:ext uri="{FF2B5EF4-FFF2-40B4-BE49-F238E27FC236}">
              <a16:creationId xmlns:a16="http://schemas.microsoft.com/office/drawing/2014/main" id="{5C23336D-5CAA-4CAF-84D2-5F67C4CD800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2" name="AutoShape 14">
          <a:extLst>
            <a:ext uri="{FF2B5EF4-FFF2-40B4-BE49-F238E27FC236}">
              <a16:creationId xmlns:a16="http://schemas.microsoft.com/office/drawing/2014/main" id="{185F58C4-A34D-495E-AC3E-945B064BDF8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F44B3111-3D1B-4A8C-BE29-0D7604B9873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14" name="AutoShape 14">
          <a:extLst>
            <a:ext uri="{FF2B5EF4-FFF2-40B4-BE49-F238E27FC236}">
              <a16:creationId xmlns:a16="http://schemas.microsoft.com/office/drawing/2014/main" id="{E4737BDF-F6C5-44D0-A6B0-25B177A7A44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5" name="AutoShape 14">
          <a:extLst>
            <a:ext uri="{FF2B5EF4-FFF2-40B4-BE49-F238E27FC236}">
              <a16:creationId xmlns:a16="http://schemas.microsoft.com/office/drawing/2014/main" id="{847C9366-6ACD-46B4-BD3E-09FFFCB0528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6" name="AutoShape 14">
          <a:extLst>
            <a:ext uri="{FF2B5EF4-FFF2-40B4-BE49-F238E27FC236}">
              <a16:creationId xmlns:a16="http://schemas.microsoft.com/office/drawing/2014/main" id="{E04FB5DB-BEE2-4C59-85D7-EF03C6F2045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7" name="AutoShape 14">
          <a:extLst>
            <a:ext uri="{FF2B5EF4-FFF2-40B4-BE49-F238E27FC236}">
              <a16:creationId xmlns:a16="http://schemas.microsoft.com/office/drawing/2014/main" id="{7A597B96-C002-4346-A04B-BB1A9B26400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8" name="AutoShape 14">
          <a:extLst>
            <a:ext uri="{FF2B5EF4-FFF2-40B4-BE49-F238E27FC236}">
              <a16:creationId xmlns:a16="http://schemas.microsoft.com/office/drawing/2014/main" id="{82D38370-0865-43DA-88F4-DD301E27944B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9" name="AutoShape 14">
          <a:extLst>
            <a:ext uri="{FF2B5EF4-FFF2-40B4-BE49-F238E27FC236}">
              <a16:creationId xmlns:a16="http://schemas.microsoft.com/office/drawing/2014/main" id="{0FC747A4-F3AB-4BDC-9DD4-F3FA78BFFDD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0" name="AutoShape 14">
          <a:extLst>
            <a:ext uri="{FF2B5EF4-FFF2-40B4-BE49-F238E27FC236}">
              <a16:creationId xmlns:a16="http://schemas.microsoft.com/office/drawing/2014/main" id="{757ED181-DF66-49E7-B88B-7F3A6C00070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1" name="AutoShape 14">
          <a:extLst>
            <a:ext uri="{FF2B5EF4-FFF2-40B4-BE49-F238E27FC236}">
              <a16:creationId xmlns:a16="http://schemas.microsoft.com/office/drawing/2014/main" id="{0BC77019-8BC9-4360-A1C2-EC760A56A17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2" name="AutoShape 14">
          <a:extLst>
            <a:ext uri="{FF2B5EF4-FFF2-40B4-BE49-F238E27FC236}">
              <a16:creationId xmlns:a16="http://schemas.microsoft.com/office/drawing/2014/main" id="{D8765F8F-3E92-4CC8-9B0F-F44EF2961D1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3" name="AutoShape 14">
          <a:extLst>
            <a:ext uri="{FF2B5EF4-FFF2-40B4-BE49-F238E27FC236}">
              <a16:creationId xmlns:a16="http://schemas.microsoft.com/office/drawing/2014/main" id="{8D20BE0A-797B-4710-9A5F-262A7768064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4" name="AutoShape 14">
          <a:extLst>
            <a:ext uri="{FF2B5EF4-FFF2-40B4-BE49-F238E27FC236}">
              <a16:creationId xmlns:a16="http://schemas.microsoft.com/office/drawing/2014/main" id="{1EDFE1E4-E13A-4EEA-9F27-C7F3606DFC1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5" name="AutoShape 14">
          <a:extLst>
            <a:ext uri="{FF2B5EF4-FFF2-40B4-BE49-F238E27FC236}">
              <a16:creationId xmlns:a16="http://schemas.microsoft.com/office/drawing/2014/main" id="{98131C94-E6A1-48BA-98D7-880A753CCC6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6" name="AutoShape 14">
          <a:extLst>
            <a:ext uri="{FF2B5EF4-FFF2-40B4-BE49-F238E27FC236}">
              <a16:creationId xmlns:a16="http://schemas.microsoft.com/office/drawing/2014/main" id="{70FCD5AF-DA83-47FF-BA41-2A7119A93F7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7" name="AutoShape 14">
          <a:extLst>
            <a:ext uri="{FF2B5EF4-FFF2-40B4-BE49-F238E27FC236}">
              <a16:creationId xmlns:a16="http://schemas.microsoft.com/office/drawing/2014/main" id="{E0BB324A-8A99-4FC6-83F2-5EBAE25D2E2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8" name="AutoShape 14">
          <a:extLst>
            <a:ext uri="{FF2B5EF4-FFF2-40B4-BE49-F238E27FC236}">
              <a16:creationId xmlns:a16="http://schemas.microsoft.com/office/drawing/2014/main" id="{D462B72E-BCF7-42BC-A409-A325A4FD518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9" name="AutoShape 14">
          <a:extLst>
            <a:ext uri="{FF2B5EF4-FFF2-40B4-BE49-F238E27FC236}">
              <a16:creationId xmlns:a16="http://schemas.microsoft.com/office/drawing/2014/main" id="{12096289-27D3-4009-84FE-408274F996B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0" name="AutoShape 14">
          <a:extLst>
            <a:ext uri="{FF2B5EF4-FFF2-40B4-BE49-F238E27FC236}">
              <a16:creationId xmlns:a16="http://schemas.microsoft.com/office/drawing/2014/main" id="{1E5E61C7-7C68-46AF-9F65-20A6FE04484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1" name="AutoShape 14">
          <a:extLst>
            <a:ext uri="{FF2B5EF4-FFF2-40B4-BE49-F238E27FC236}">
              <a16:creationId xmlns:a16="http://schemas.microsoft.com/office/drawing/2014/main" id="{EF8C882A-ACCE-4012-99E8-315FEF4DF2C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2" name="AutoShape 14">
          <a:extLst>
            <a:ext uri="{FF2B5EF4-FFF2-40B4-BE49-F238E27FC236}">
              <a16:creationId xmlns:a16="http://schemas.microsoft.com/office/drawing/2014/main" id="{DF912BD5-1DA1-4CE2-8639-704865FDB42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3" name="AutoShape 14">
          <a:extLst>
            <a:ext uri="{FF2B5EF4-FFF2-40B4-BE49-F238E27FC236}">
              <a16:creationId xmlns:a16="http://schemas.microsoft.com/office/drawing/2014/main" id="{1926308D-B925-4854-9FF5-C9F8ABA61DD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4" name="AutoShape 14">
          <a:extLst>
            <a:ext uri="{FF2B5EF4-FFF2-40B4-BE49-F238E27FC236}">
              <a16:creationId xmlns:a16="http://schemas.microsoft.com/office/drawing/2014/main" id="{61EA11C2-6D83-48AE-804C-FA6F2345BB6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5" name="AutoShape 14">
          <a:extLst>
            <a:ext uri="{FF2B5EF4-FFF2-40B4-BE49-F238E27FC236}">
              <a16:creationId xmlns:a16="http://schemas.microsoft.com/office/drawing/2014/main" id="{34FC8683-8D6D-412C-9689-1CF7306413C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6" name="AutoShape 14">
          <a:extLst>
            <a:ext uri="{FF2B5EF4-FFF2-40B4-BE49-F238E27FC236}">
              <a16:creationId xmlns:a16="http://schemas.microsoft.com/office/drawing/2014/main" id="{5CE10FF7-61F0-4E36-A810-3F5EC05F446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7" name="AutoShape 14">
          <a:extLst>
            <a:ext uri="{FF2B5EF4-FFF2-40B4-BE49-F238E27FC236}">
              <a16:creationId xmlns:a16="http://schemas.microsoft.com/office/drawing/2014/main" id="{BC8ECD30-E4A7-4D5D-9D8B-0C3F3DC7847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8" name="AutoShape 14">
          <a:extLst>
            <a:ext uri="{FF2B5EF4-FFF2-40B4-BE49-F238E27FC236}">
              <a16:creationId xmlns:a16="http://schemas.microsoft.com/office/drawing/2014/main" id="{86469ED4-3A41-445C-A3AF-DCE4BCCA2DD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9" name="AutoShape 14">
          <a:extLst>
            <a:ext uri="{FF2B5EF4-FFF2-40B4-BE49-F238E27FC236}">
              <a16:creationId xmlns:a16="http://schemas.microsoft.com/office/drawing/2014/main" id="{9DAC7615-1003-4DC7-A648-60CD8B3DE39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0" name="AutoShape 14">
          <a:extLst>
            <a:ext uri="{FF2B5EF4-FFF2-40B4-BE49-F238E27FC236}">
              <a16:creationId xmlns:a16="http://schemas.microsoft.com/office/drawing/2014/main" id="{D650CCDB-3197-45A3-98AA-8EDF5B297534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1" name="AutoShape 14">
          <a:extLst>
            <a:ext uri="{FF2B5EF4-FFF2-40B4-BE49-F238E27FC236}">
              <a16:creationId xmlns:a16="http://schemas.microsoft.com/office/drawing/2014/main" id="{A2A9F32D-544C-4BBB-8BC0-7F6E76C7932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2" name="AutoShape 14">
          <a:extLst>
            <a:ext uri="{FF2B5EF4-FFF2-40B4-BE49-F238E27FC236}">
              <a16:creationId xmlns:a16="http://schemas.microsoft.com/office/drawing/2014/main" id="{4011BF54-1295-4C6B-9BE8-CD6856D51F6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3" name="AutoShape 14">
          <a:extLst>
            <a:ext uri="{FF2B5EF4-FFF2-40B4-BE49-F238E27FC236}">
              <a16:creationId xmlns:a16="http://schemas.microsoft.com/office/drawing/2014/main" id="{F15DB9B7-0CCB-4895-8E2E-BF6E57F1A24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4" name="AutoShape 14">
          <a:extLst>
            <a:ext uri="{FF2B5EF4-FFF2-40B4-BE49-F238E27FC236}">
              <a16:creationId xmlns:a16="http://schemas.microsoft.com/office/drawing/2014/main" id="{31226DB2-AF7B-481A-9E73-F60205053FE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5" name="AutoShape 14">
          <a:extLst>
            <a:ext uri="{FF2B5EF4-FFF2-40B4-BE49-F238E27FC236}">
              <a16:creationId xmlns:a16="http://schemas.microsoft.com/office/drawing/2014/main" id="{6353F26D-EC64-40A4-A29D-6B8B8D80CC1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6" name="AutoShape 14">
          <a:extLst>
            <a:ext uri="{FF2B5EF4-FFF2-40B4-BE49-F238E27FC236}">
              <a16:creationId xmlns:a16="http://schemas.microsoft.com/office/drawing/2014/main" id="{E69AAF66-FE29-43FE-A434-6C71856182C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7" name="AutoShape 14">
          <a:extLst>
            <a:ext uri="{FF2B5EF4-FFF2-40B4-BE49-F238E27FC236}">
              <a16:creationId xmlns:a16="http://schemas.microsoft.com/office/drawing/2014/main" id="{96E0897E-6386-4273-BDED-8781EAA5B2D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8" name="AutoShape 14">
          <a:extLst>
            <a:ext uri="{FF2B5EF4-FFF2-40B4-BE49-F238E27FC236}">
              <a16:creationId xmlns:a16="http://schemas.microsoft.com/office/drawing/2014/main" id="{CF79E946-BDB2-4843-B193-D54210EB9B1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9" name="AutoShape 14">
          <a:extLst>
            <a:ext uri="{FF2B5EF4-FFF2-40B4-BE49-F238E27FC236}">
              <a16:creationId xmlns:a16="http://schemas.microsoft.com/office/drawing/2014/main" id="{BF168519-9906-4451-9E77-AF4D70E8A43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0" name="AutoShape 14">
          <a:extLst>
            <a:ext uri="{FF2B5EF4-FFF2-40B4-BE49-F238E27FC236}">
              <a16:creationId xmlns:a16="http://schemas.microsoft.com/office/drawing/2014/main" id="{371A6294-B5B3-494D-92DD-D704AF3275B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1" name="AutoShape 14">
          <a:extLst>
            <a:ext uri="{FF2B5EF4-FFF2-40B4-BE49-F238E27FC236}">
              <a16:creationId xmlns:a16="http://schemas.microsoft.com/office/drawing/2014/main" id="{CEF08ABF-C807-4AC8-B344-F77C1480AB1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2" name="AutoShape 14">
          <a:extLst>
            <a:ext uri="{FF2B5EF4-FFF2-40B4-BE49-F238E27FC236}">
              <a16:creationId xmlns:a16="http://schemas.microsoft.com/office/drawing/2014/main" id="{FC9C111F-93E1-44E6-80D6-16FEEE1F886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8A6552FB-FD9C-4B38-B755-A5E6103ED3F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54" name="AutoShape 14">
          <a:extLst>
            <a:ext uri="{FF2B5EF4-FFF2-40B4-BE49-F238E27FC236}">
              <a16:creationId xmlns:a16="http://schemas.microsoft.com/office/drawing/2014/main" id="{715C85F9-8FC2-45BB-806C-35384772F02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5" name="AutoShape 14">
          <a:extLst>
            <a:ext uri="{FF2B5EF4-FFF2-40B4-BE49-F238E27FC236}">
              <a16:creationId xmlns:a16="http://schemas.microsoft.com/office/drawing/2014/main" id="{FFAAA02D-4AB5-4767-8437-EE7DBB4EC66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6" name="AutoShape 14">
          <a:extLst>
            <a:ext uri="{FF2B5EF4-FFF2-40B4-BE49-F238E27FC236}">
              <a16:creationId xmlns:a16="http://schemas.microsoft.com/office/drawing/2014/main" id="{B700EFF2-1062-43F2-815D-386B583BDC0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57" name="AutoShape 14">
          <a:extLst>
            <a:ext uri="{FF2B5EF4-FFF2-40B4-BE49-F238E27FC236}">
              <a16:creationId xmlns:a16="http://schemas.microsoft.com/office/drawing/2014/main" id="{2ED6C58C-350A-4D9D-8BE0-98F053A77C92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8" name="AutoShape 14">
          <a:extLst>
            <a:ext uri="{FF2B5EF4-FFF2-40B4-BE49-F238E27FC236}">
              <a16:creationId xmlns:a16="http://schemas.microsoft.com/office/drawing/2014/main" id="{1FB17CFE-B5A1-4FA2-ABEA-86300B0EDB77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9" name="AutoShape 14">
          <a:extLst>
            <a:ext uri="{FF2B5EF4-FFF2-40B4-BE49-F238E27FC236}">
              <a16:creationId xmlns:a16="http://schemas.microsoft.com/office/drawing/2014/main" id="{D5956022-7381-411E-B4AB-35741C412D8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0" name="AutoShape 14">
          <a:extLst>
            <a:ext uri="{FF2B5EF4-FFF2-40B4-BE49-F238E27FC236}">
              <a16:creationId xmlns:a16="http://schemas.microsoft.com/office/drawing/2014/main" id="{2FB67148-340F-4DF9-A9C9-5D0EB42906B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1" name="AutoShape 14">
          <a:extLst>
            <a:ext uri="{FF2B5EF4-FFF2-40B4-BE49-F238E27FC236}">
              <a16:creationId xmlns:a16="http://schemas.microsoft.com/office/drawing/2014/main" id="{2F092A3A-C0DE-426C-9793-9609CB6FF6A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2" name="AutoShape 14">
          <a:extLst>
            <a:ext uri="{FF2B5EF4-FFF2-40B4-BE49-F238E27FC236}">
              <a16:creationId xmlns:a16="http://schemas.microsoft.com/office/drawing/2014/main" id="{E49C8A5B-DAFE-4A4D-BE02-9C353D8F62E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3" name="AutoShape 14">
          <a:extLst>
            <a:ext uri="{FF2B5EF4-FFF2-40B4-BE49-F238E27FC236}">
              <a16:creationId xmlns:a16="http://schemas.microsoft.com/office/drawing/2014/main" id="{60C8A0B8-D99C-49E8-936F-DDA281177E1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4" name="AutoShape 14">
          <a:extLst>
            <a:ext uri="{FF2B5EF4-FFF2-40B4-BE49-F238E27FC236}">
              <a16:creationId xmlns:a16="http://schemas.microsoft.com/office/drawing/2014/main" id="{4B77B1E2-7767-4BD1-8CB1-5D38900D6D9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5" name="AutoShape 14">
          <a:extLst>
            <a:ext uri="{FF2B5EF4-FFF2-40B4-BE49-F238E27FC236}">
              <a16:creationId xmlns:a16="http://schemas.microsoft.com/office/drawing/2014/main" id="{602590AF-E603-48AC-9F87-918E3CC5CC78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6" name="AutoShape 14">
          <a:extLst>
            <a:ext uri="{FF2B5EF4-FFF2-40B4-BE49-F238E27FC236}">
              <a16:creationId xmlns:a16="http://schemas.microsoft.com/office/drawing/2014/main" id="{6DD9617F-044F-42DA-84AE-87A93B36DDE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7" name="AutoShape 14">
          <a:extLst>
            <a:ext uri="{FF2B5EF4-FFF2-40B4-BE49-F238E27FC236}">
              <a16:creationId xmlns:a16="http://schemas.microsoft.com/office/drawing/2014/main" id="{64A3CB2A-6EDB-4E60-85DC-47D9532785B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8" name="AutoShape 14">
          <a:extLst>
            <a:ext uri="{FF2B5EF4-FFF2-40B4-BE49-F238E27FC236}">
              <a16:creationId xmlns:a16="http://schemas.microsoft.com/office/drawing/2014/main" id="{4D76B46B-C9F8-46F8-9509-C6A2F6BA8F8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69" name="AutoShape 14">
          <a:extLst>
            <a:ext uri="{FF2B5EF4-FFF2-40B4-BE49-F238E27FC236}">
              <a16:creationId xmlns:a16="http://schemas.microsoft.com/office/drawing/2014/main" id="{3769D699-306B-41E4-A2AA-B1C99F427CA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0" name="AutoShape 14">
          <a:extLst>
            <a:ext uri="{FF2B5EF4-FFF2-40B4-BE49-F238E27FC236}">
              <a16:creationId xmlns:a16="http://schemas.microsoft.com/office/drawing/2014/main" id="{826D4917-E434-4068-936F-BD483F594E5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1" name="AutoShape 14">
          <a:extLst>
            <a:ext uri="{FF2B5EF4-FFF2-40B4-BE49-F238E27FC236}">
              <a16:creationId xmlns:a16="http://schemas.microsoft.com/office/drawing/2014/main" id="{5B221203-6BCB-4FBA-8728-F0F3F7071A6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2" name="AutoShape 14">
          <a:extLst>
            <a:ext uri="{FF2B5EF4-FFF2-40B4-BE49-F238E27FC236}">
              <a16:creationId xmlns:a16="http://schemas.microsoft.com/office/drawing/2014/main" id="{B27EF208-2FFF-45D1-B6FA-414B87802E1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3" name="AutoShape 14">
          <a:extLst>
            <a:ext uri="{FF2B5EF4-FFF2-40B4-BE49-F238E27FC236}">
              <a16:creationId xmlns:a16="http://schemas.microsoft.com/office/drawing/2014/main" id="{68D8DCE0-7A3D-47FE-8627-EE6A8E7AFF3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4" name="AutoShape 14">
          <a:extLst>
            <a:ext uri="{FF2B5EF4-FFF2-40B4-BE49-F238E27FC236}">
              <a16:creationId xmlns:a16="http://schemas.microsoft.com/office/drawing/2014/main" id="{8DF93111-1D1B-4122-B829-88A2167237C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5" name="AutoShape 14">
          <a:extLst>
            <a:ext uri="{FF2B5EF4-FFF2-40B4-BE49-F238E27FC236}">
              <a16:creationId xmlns:a16="http://schemas.microsoft.com/office/drawing/2014/main" id="{B3CF6797-8AE8-44CF-A28B-E93C8046B3E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6" name="AutoShape 14">
          <a:extLst>
            <a:ext uri="{FF2B5EF4-FFF2-40B4-BE49-F238E27FC236}">
              <a16:creationId xmlns:a16="http://schemas.microsoft.com/office/drawing/2014/main" id="{35029C1D-DBD3-4A98-8FE0-6D5B89728B8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7" name="AutoShape 14">
          <a:extLst>
            <a:ext uri="{FF2B5EF4-FFF2-40B4-BE49-F238E27FC236}">
              <a16:creationId xmlns:a16="http://schemas.microsoft.com/office/drawing/2014/main" id="{CA209265-5902-44F4-8FF9-40D7B16AB65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8" name="AutoShape 14">
          <a:extLst>
            <a:ext uri="{FF2B5EF4-FFF2-40B4-BE49-F238E27FC236}">
              <a16:creationId xmlns:a16="http://schemas.microsoft.com/office/drawing/2014/main" id="{056D44FB-D627-4B1B-8F21-1A1FDCE8472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9" name="AutoShape 14">
          <a:extLst>
            <a:ext uri="{FF2B5EF4-FFF2-40B4-BE49-F238E27FC236}">
              <a16:creationId xmlns:a16="http://schemas.microsoft.com/office/drawing/2014/main" id="{A0FAE2FF-4AB8-4860-875D-5BD397B92C9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80" name="AutoShape 14">
          <a:extLst>
            <a:ext uri="{FF2B5EF4-FFF2-40B4-BE49-F238E27FC236}">
              <a16:creationId xmlns:a16="http://schemas.microsoft.com/office/drawing/2014/main" id="{41266E89-AFE3-4F5A-A8C3-6CEA0C6A930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281" name="AutoShape 14">
          <a:extLst>
            <a:ext uri="{FF2B5EF4-FFF2-40B4-BE49-F238E27FC236}">
              <a16:creationId xmlns:a16="http://schemas.microsoft.com/office/drawing/2014/main" id="{17E3B806-A4FD-44BE-9BF7-AD674871374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2" name="AutoShape 14">
          <a:extLst>
            <a:ext uri="{FF2B5EF4-FFF2-40B4-BE49-F238E27FC236}">
              <a16:creationId xmlns:a16="http://schemas.microsoft.com/office/drawing/2014/main" id="{0966BBFC-9D5E-4A84-ADAB-C74F813723C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3" name="AutoShape 14">
          <a:extLst>
            <a:ext uri="{FF2B5EF4-FFF2-40B4-BE49-F238E27FC236}">
              <a16:creationId xmlns:a16="http://schemas.microsoft.com/office/drawing/2014/main" id="{2EAD332D-A950-4207-B632-BAA5B18D6BA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4" name="AutoShape 14">
          <a:extLst>
            <a:ext uri="{FF2B5EF4-FFF2-40B4-BE49-F238E27FC236}">
              <a16:creationId xmlns:a16="http://schemas.microsoft.com/office/drawing/2014/main" id="{97C9D700-02EA-46B8-8963-A9374D9E452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5" name="AutoShape 14">
          <a:extLst>
            <a:ext uri="{FF2B5EF4-FFF2-40B4-BE49-F238E27FC236}">
              <a16:creationId xmlns:a16="http://schemas.microsoft.com/office/drawing/2014/main" id="{DA2AD455-3EA0-4345-882B-A4857C44D5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6" name="AutoShape 14">
          <a:extLst>
            <a:ext uri="{FF2B5EF4-FFF2-40B4-BE49-F238E27FC236}">
              <a16:creationId xmlns:a16="http://schemas.microsoft.com/office/drawing/2014/main" id="{5BD046AA-B5A1-411E-A9BF-48493A1E55B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7" name="AutoShape 14">
          <a:extLst>
            <a:ext uri="{FF2B5EF4-FFF2-40B4-BE49-F238E27FC236}">
              <a16:creationId xmlns:a16="http://schemas.microsoft.com/office/drawing/2014/main" id="{C1BBEDAD-4A53-4E1E-B45B-B67829A6F90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8" name="AutoShape 14">
          <a:extLst>
            <a:ext uri="{FF2B5EF4-FFF2-40B4-BE49-F238E27FC236}">
              <a16:creationId xmlns:a16="http://schemas.microsoft.com/office/drawing/2014/main" id="{6B55ACBE-70BA-4EB6-AC3E-0CAB03FE3D9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9" name="AutoShape 14">
          <a:extLst>
            <a:ext uri="{FF2B5EF4-FFF2-40B4-BE49-F238E27FC236}">
              <a16:creationId xmlns:a16="http://schemas.microsoft.com/office/drawing/2014/main" id="{42825DF8-7609-41EE-8261-EF171456D5A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0" name="AutoShape 14">
          <a:extLst>
            <a:ext uri="{FF2B5EF4-FFF2-40B4-BE49-F238E27FC236}">
              <a16:creationId xmlns:a16="http://schemas.microsoft.com/office/drawing/2014/main" id="{4418990F-6D65-475B-B562-9F5AE24AC2A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1" name="AutoShape 14">
          <a:extLst>
            <a:ext uri="{FF2B5EF4-FFF2-40B4-BE49-F238E27FC236}">
              <a16:creationId xmlns:a16="http://schemas.microsoft.com/office/drawing/2014/main" id="{9253B9D2-7F7C-4C74-BE41-D5AD039235C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2" name="AutoShape 14">
          <a:extLst>
            <a:ext uri="{FF2B5EF4-FFF2-40B4-BE49-F238E27FC236}">
              <a16:creationId xmlns:a16="http://schemas.microsoft.com/office/drawing/2014/main" id="{7373EB89-0906-4007-820C-3FD3BB58727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3" name="AutoShape 14">
          <a:extLst>
            <a:ext uri="{FF2B5EF4-FFF2-40B4-BE49-F238E27FC236}">
              <a16:creationId xmlns:a16="http://schemas.microsoft.com/office/drawing/2014/main" id="{A2596417-7022-4948-9865-06DD319592A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4" name="AutoShape 14">
          <a:extLst>
            <a:ext uri="{FF2B5EF4-FFF2-40B4-BE49-F238E27FC236}">
              <a16:creationId xmlns:a16="http://schemas.microsoft.com/office/drawing/2014/main" id="{B620EA3C-AB86-45D6-9EDB-54C40A45776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5" name="AutoShape 14">
          <a:extLst>
            <a:ext uri="{FF2B5EF4-FFF2-40B4-BE49-F238E27FC236}">
              <a16:creationId xmlns:a16="http://schemas.microsoft.com/office/drawing/2014/main" id="{AC0CF229-CFB1-4A3C-ABA7-4A7FCB9454D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6" name="AutoShape 14">
          <a:extLst>
            <a:ext uri="{FF2B5EF4-FFF2-40B4-BE49-F238E27FC236}">
              <a16:creationId xmlns:a16="http://schemas.microsoft.com/office/drawing/2014/main" id="{D974314D-4BEE-4010-9BA8-C278905990A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7" name="AutoShape 14">
          <a:extLst>
            <a:ext uri="{FF2B5EF4-FFF2-40B4-BE49-F238E27FC236}">
              <a16:creationId xmlns:a16="http://schemas.microsoft.com/office/drawing/2014/main" id="{8BDD90A4-25F4-472A-9188-05EB1214092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8" name="AutoShape 14">
          <a:extLst>
            <a:ext uri="{FF2B5EF4-FFF2-40B4-BE49-F238E27FC236}">
              <a16:creationId xmlns:a16="http://schemas.microsoft.com/office/drawing/2014/main" id="{77824D35-39C1-49C0-8B2A-3FEE9F06B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9" name="AutoShape 14">
          <a:extLst>
            <a:ext uri="{FF2B5EF4-FFF2-40B4-BE49-F238E27FC236}">
              <a16:creationId xmlns:a16="http://schemas.microsoft.com/office/drawing/2014/main" id="{E7C2B357-1CB6-44F0-BE81-CB3B1CE851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0" name="AutoShape 14">
          <a:extLst>
            <a:ext uri="{FF2B5EF4-FFF2-40B4-BE49-F238E27FC236}">
              <a16:creationId xmlns:a16="http://schemas.microsoft.com/office/drawing/2014/main" id="{E8A90B5B-C9C2-43B2-AD27-17DACE1D494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1" name="AutoShape 14">
          <a:extLst>
            <a:ext uri="{FF2B5EF4-FFF2-40B4-BE49-F238E27FC236}">
              <a16:creationId xmlns:a16="http://schemas.microsoft.com/office/drawing/2014/main" id="{1425D424-550F-4EE0-B9D3-45C69075D29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2" name="AutoShape 14">
          <a:extLst>
            <a:ext uri="{FF2B5EF4-FFF2-40B4-BE49-F238E27FC236}">
              <a16:creationId xmlns:a16="http://schemas.microsoft.com/office/drawing/2014/main" id="{5DBEB50A-DE65-4DD6-84B5-27F3D054AE3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3" name="AutoShape 14">
          <a:extLst>
            <a:ext uri="{FF2B5EF4-FFF2-40B4-BE49-F238E27FC236}">
              <a16:creationId xmlns:a16="http://schemas.microsoft.com/office/drawing/2014/main" id="{5C276266-5354-4C96-A64D-2D7A341D59C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4" name="AutoShape 14">
          <a:extLst>
            <a:ext uri="{FF2B5EF4-FFF2-40B4-BE49-F238E27FC236}">
              <a16:creationId xmlns:a16="http://schemas.microsoft.com/office/drawing/2014/main" id="{0523A819-E756-47A1-8798-50E73EAD4D1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5" name="AutoShape 14">
          <a:extLst>
            <a:ext uri="{FF2B5EF4-FFF2-40B4-BE49-F238E27FC236}">
              <a16:creationId xmlns:a16="http://schemas.microsoft.com/office/drawing/2014/main" id="{E56E5409-7400-4430-A629-11B3E99BA3D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6" name="AutoShape 14">
          <a:extLst>
            <a:ext uri="{FF2B5EF4-FFF2-40B4-BE49-F238E27FC236}">
              <a16:creationId xmlns:a16="http://schemas.microsoft.com/office/drawing/2014/main" id="{279FB2AB-0E6C-46E0-9420-05A96127813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7" name="AutoShape 14">
          <a:extLst>
            <a:ext uri="{FF2B5EF4-FFF2-40B4-BE49-F238E27FC236}">
              <a16:creationId xmlns:a16="http://schemas.microsoft.com/office/drawing/2014/main" id="{4DD762D0-26EB-4DC1-ADAA-CC0DEE531AA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8" name="AutoShape 14">
          <a:extLst>
            <a:ext uri="{FF2B5EF4-FFF2-40B4-BE49-F238E27FC236}">
              <a16:creationId xmlns:a16="http://schemas.microsoft.com/office/drawing/2014/main" id="{CC1DA96A-40F0-4DB5-A1ED-F738811507D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9" name="AutoShape 14">
          <a:extLst>
            <a:ext uri="{FF2B5EF4-FFF2-40B4-BE49-F238E27FC236}">
              <a16:creationId xmlns:a16="http://schemas.microsoft.com/office/drawing/2014/main" id="{27A8C72E-40A5-456C-B7A0-71042C89FC7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0" name="AutoShape 14">
          <a:extLst>
            <a:ext uri="{FF2B5EF4-FFF2-40B4-BE49-F238E27FC236}">
              <a16:creationId xmlns:a16="http://schemas.microsoft.com/office/drawing/2014/main" id="{90C787FA-315C-4AF7-8C29-0252B2EDA1A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1" name="AutoShape 14">
          <a:extLst>
            <a:ext uri="{FF2B5EF4-FFF2-40B4-BE49-F238E27FC236}">
              <a16:creationId xmlns:a16="http://schemas.microsoft.com/office/drawing/2014/main" id="{E3DC086F-BB3B-4E67-89D6-265572F106B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2" name="AutoShape 14">
          <a:extLst>
            <a:ext uri="{FF2B5EF4-FFF2-40B4-BE49-F238E27FC236}">
              <a16:creationId xmlns:a16="http://schemas.microsoft.com/office/drawing/2014/main" id="{F08D6293-B560-45D9-9DBF-13DC2C6499F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3" name="AutoShape 14">
          <a:extLst>
            <a:ext uri="{FF2B5EF4-FFF2-40B4-BE49-F238E27FC236}">
              <a16:creationId xmlns:a16="http://schemas.microsoft.com/office/drawing/2014/main" id="{4E782F95-FC54-4143-B4C1-FEFF5B3A2BC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4" name="AutoShape 14">
          <a:extLst>
            <a:ext uri="{FF2B5EF4-FFF2-40B4-BE49-F238E27FC236}">
              <a16:creationId xmlns:a16="http://schemas.microsoft.com/office/drawing/2014/main" id="{66AE3378-8ACB-46C4-82E3-F5B0D7B4069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5" name="AutoShape 14">
          <a:extLst>
            <a:ext uri="{FF2B5EF4-FFF2-40B4-BE49-F238E27FC236}">
              <a16:creationId xmlns:a16="http://schemas.microsoft.com/office/drawing/2014/main" id="{0F65E7E9-AB3E-488D-BC63-D3BB71C7257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6" name="AutoShape 14">
          <a:extLst>
            <a:ext uri="{FF2B5EF4-FFF2-40B4-BE49-F238E27FC236}">
              <a16:creationId xmlns:a16="http://schemas.microsoft.com/office/drawing/2014/main" id="{F4DB5C0B-BB80-453F-9EA6-1B14D5AD33E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7" name="AutoShape 14">
          <a:extLst>
            <a:ext uri="{FF2B5EF4-FFF2-40B4-BE49-F238E27FC236}">
              <a16:creationId xmlns:a16="http://schemas.microsoft.com/office/drawing/2014/main" id="{983A5EE8-8E83-4B72-B2B2-094E36906A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8" name="AutoShape 14">
          <a:extLst>
            <a:ext uri="{FF2B5EF4-FFF2-40B4-BE49-F238E27FC236}">
              <a16:creationId xmlns:a16="http://schemas.microsoft.com/office/drawing/2014/main" id="{CFF81F87-2EC8-4861-84AB-6BB2DD475B0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19" name="AutoShape 14">
          <a:extLst>
            <a:ext uri="{FF2B5EF4-FFF2-40B4-BE49-F238E27FC236}">
              <a16:creationId xmlns:a16="http://schemas.microsoft.com/office/drawing/2014/main" id="{365B202A-FDF2-47D0-A6E4-B3F5CC52F26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0" name="AutoShape 14">
          <a:extLst>
            <a:ext uri="{FF2B5EF4-FFF2-40B4-BE49-F238E27FC236}">
              <a16:creationId xmlns:a16="http://schemas.microsoft.com/office/drawing/2014/main" id="{4C3BF7E0-B417-4546-9C68-1E446A665DE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321" name="AutoShape 14">
          <a:extLst>
            <a:ext uri="{FF2B5EF4-FFF2-40B4-BE49-F238E27FC236}">
              <a16:creationId xmlns:a16="http://schemas.microsoft.com/office/drawing/2014/main" id="{33A56659-BA5E-4C14-B083-BEDD3109BD6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2" name="AutoShape 14">
          <a:extLst>
            <a:ext uri="{FF2B5EF4-FFF2-40B4-BE49-F238E27FC236}">
              <a16:creationId xmlns:a16="http://schemas.microsoft.com/office/drawing/2014/main" id="{07199CA9-53B8-4E94-84AE-B7A1B33FA51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3" name="AutoShape 14">
          <a:extLst>
            <a:ext uri="{FF2B5EF4-FFF2-40B4-BE49-F238E27FC236}">
              <a16:creationId xmlns:a16="http://schemas.microsoft.com/office/drawing/2014/main" id="{21031DB7-3195-4B6F-8DC5-0799D2A28EF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324" name="AutoShape 14">
          <a:extLst>
            <a:ext uri="{FF2B5EF4-FFF2-40B4-BE49-F238E27FC236}">
              <a16:creationId xmlns:a16="http://schemas.microsoft.com/office/drawing/2014/main" id="{208923D5-669D-4EAB-9D15-0627F6BE7F3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25" name="AutoShape 14">
          <a:extLst>
            <a:ext uri="{FF2B5EF4-FFF2-40B4-BE49-F238E27FC236}">
              <a16:creationId xmlns:a16="http://schemas.microsoft.com/office/drawing/2014/main" id="{1EC2E9E5-F677-48B6-8CBD-42980C6AE6B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6" name="AutoShape 14">
          <a:extLst>
            <a:ext uri="{FF2B5EF4-FFF2-40B4-BE49-F238E27FC236}">
              <a16:creationId xmlns:a16="http://schemas.microsoft.com/office/drawing/2014/main" id="{B3E1AEBC-FB68-4F90-8BD1-7FB6DD74BDC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7" name="AutoShape 14">
          <a:extLst>
            <a:ext uri="{FF2B5EF4-FFF2-40B4-BE49-F238E27FC236}">
              <a16:creationId xmlns:a16="http://schemas.microsoft.com/office/drawing/2014/main" id="{C2E685FE-D298-4E8D-ADEF-2A75CF8F768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8" name="AutoShape 14">
          <a:extLst>
            <a:ext uri="{FF2B5EF4-FFF2-40B4-BE49-F238E27FC236}">
              <a16:creationId xmlns:a16="http://schemas.microsoft.com/office/drawing/2014/main" id="{9D340325-6275-40C1-B527-C701C847411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9" name="AutoShape 14">
          <a:extLst>
            <a:ext uri="{FF2B5EF4-FFF2-40B4-BE49-F238E27FC236}">
              <a16:creationId xmlns:a16="http://schemas.microsoft.com/office/drawing/2014/main" id="{D3ED23C2-6EF6-4612-BF01-7328A705DDA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0" name="AutoShape 14">
          <a:extLst>
            <a:ext uri="{FF2B5EF4-FFF2-40B4-BE49-F238E27FC236}">
              <a16:creationId xmlns:a16="http://schemas.microsoft.com/office/drawing/2014/main" id="{312811E5-E6D8-46FA-AFD7-350D1AE5797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1" name="AutoShape 14">
          <a:extLst>
            <a:ext uri="{FF2B5EF4-FFF2-40B4-BE49-F238E27FC236}">
              <a16:creationId xmlns:a16="http://schemas.microsoft.com/office/drawing/2014/main" id="{DD18997C-7164-4A25-8F0A-A665957CFB0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2" name="AutoShape 14">
          <a:extLst>
            <a:ext uri="{FF2B5EF4-FFF2-40B4-BE49-F238E27FC236}">
              <a16:creationId xmlns:a16="http://schemas.microsoft.com/office/drawing/2014/main" id="{6111297A-D242-4292-9D08-781DBDE274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3" name="AutoShape 14">
          <a:extLst>
            <a:ext uri="{FF2B5EF4-FFF2-40B4-BE49-F238E27FC236}">
              <a16:creationId xmlns:a16="http://schemas.microsoft.com/office/drawing/2014/main" id="{82A4480C-478F-4F92-B338-2E5C2ED3DDB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4" name="AutoShape 14">
          <a:extLst>
            <a:ext uri="{FF2B5EF4-FFF2-40B4-BE49-F238E27FC236}">
              <a16:creationId xmlns:a16="http://schemas.microsoft.com/office/drawing/2014/main" id="{3DB11AB1-37DE-42F4-BB83-FECAEE577DB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5" name="AutoShape 14">
          <a:extLst>
            <a:ext uri="{FF2B5EF4-FFF2-40B4-BE49-F238E27FC236}">
              <a16:creationId xmlns:a16="http://schemas.microsoft.com/office/drawing/2014/main" id="{AE5728DE-5886-430B-BA21-5B52B61438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36" name="AutoShape 14">
          <a:extLst>
            <a:ext uri="{FF2B5EF4-FFF2-40B4-BE49-F238E27FC236}">
              <a16:creationId xmlns:a16="http://schemas.microsoft.com/office/drawing/2014/main" id="{D0C94E1D-D829-4838-9844-17AC7385E76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f0020541092368\compartilhamentos\SRRF07\DIPOL_Raiz\SALIC\01%20-%20Licita&#231;&#245;es%20por%20modalidades\01.1%20-%20Preg&#245;es\2025\900XX-2025%20Limpeza%202025\Planilha%202025%20-%20G1%20-%20DRF-NIT%20-%20v3%20-%2060%20meses%20-%20TESTE%20UNIDADE%20MEDIDA.xlsx" TargetMode="External"/><Relationship Id="rId1" Type="http://schemas.openxmlformats.org/officeDocument/2006/relationships/externalLinkPath" Target="/SRRF07/DIPOL_Raiz/SALIC/01%20-%20Licita&#231;&#245;es%20por%20modalidades/01.1%20-%20Preg&#245;es/2025/900XX-2025%20Limpeza%202025/Planilha%202025%20-%20G1%20-%20DRF-NIT%20-%20v3%20-%2060%20meses%20-%20TESTE%20UNIDADE%20MED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ções"/>
      <sheetName val="CCT"/>
      <sheetName val="Benefícios e Outros Dados"/>
      <sheetName val="Anexo IV da LC - OCULTAR"/>
      <sheetName val="Uniforme"/>
      <sheetName val="Insumos e Equip"/>
      <sheetName val="Serviços Eventuais"/>
      <sheetName val="Produt Basal Comparada"/>
      <sheetName val="Área, Produt e Servente"/>
      <sheetName val="Servente COM Adicional"/>
      <sheetName val="Servente SEM Adicional"/>
      <sheetName val="Preço Homem-Mês-m2"/>
      <sheetName val="Preço Mensal por Área"/>
      <sheetName val="Valores Totais - Resumo"/>
      <sheetName val="Planilha1"/>
    </sheetNames>
    <sheetDataSet>
      <sheetData sheetId="0" refreshError="1"/>
      <sheetData sheetId="1" refreshError="1"/>
      <sheetData sheetId="2" refreshError="1">
        <row r="9">
          <cell r="I9">
            <v>60</v>
          </cell>
        </row>
        <row r="45">
          <cell r="K45">
            <v>0.05</v>
          </cell>
        </row>
        <row r="51">
          <cell r="K51">
            <v>0.05</v>
          </cell>
        </row>
        <row r="55">
          <cell r="K55">
            <v>0.02</v>
          </cell>
        </row>
        <row r="59">
          <cell r="K59">
            <v>0.05</v>
          </cell>
        </row>
        <row r="61">
          <cell r="K61">
            <v>0.04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A21" zoomScale="85" zoomScaleNormal="85" workbookViewId="0">
      <selection activeCell="A28" sqref="A28"/>
    </sheetView>
  </sheetViews>
  <sheetFormatPr defaultRowHeight="14.5"/>
  <cols>
    <col min="1" max="9" width="8.7265625" style="66"/>
    <col min="10" max="11" width="13" style="66" customWidth="1"/>
    <col min="12" max="16384" width="8.7265625" style="66"/>
  </cols>
  <sheetData>
    <row r="1" spans="1:15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</row>
    <row r="2" spans="1:15" s="64" customFormat="1" ht="32.15" customHeight="1">
      <c r="A2" s="481" t="s">
        <v>163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</row>
    <row r="3" spans="1:15" s="64" customFormat="1" ht="6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</row>
    <row r="4" spans="1:15" s="64" customFormat="1" ht="19.5" customHeight="1">
      <c r="A4" s="483" t="s">
        <v>1</v>
      </c>
      <c r="B4" s="484"/>
      <c r="C4" s="484"/>
      <c r="D4" s="484"/>
      <c r="E4" s="484"/>
      <c r="F4" s="484"/>
      <c r="G4" s="484"/>
      <c r="H4" s="484"/>
      <c r="I4" s="485"/>
      <c r="J4" s="486" t="str">
        <f>CCT!J4</f>
        <v>10707.720194-2025-26</v>
      </c>
      <c r="K4" s="487"/>
    </row>
    <row r="5" spans="1:15" s="64" customFormat="1" ht="9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s="64" customFormat="1" ht="19.5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</row>
    <row r="7" spans="1:15" ht="11.15" customHeight="1">
      <c r="A7" s="478"/>
      <c r="B7" s="478"/>
      <c r="C7" s="478"/>
      <c r="D7" s="478"/>
      <c r="E7" s="478"/>
      <c r="F7" s="478"/>
      <c r="G7" s="478"/>
      <c r="H7" s="478"/>
      <c r="I7" s="478"/>
      <c r="J7" s="478"/>
      <c r="K7" s="478"/>
    </row>
    <row r="8" spans="1:15" ht="22" customHeight="1">
      <c r="A8" s="479" t="s">
        <v>133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67"/>
      <c r="M8" s="67"/>
      <c r="N8" s="67"/>
      <c r="O8" s="35"/>
    </row>
    <row r="9" spans="1:15" s="64" customFormat="1" ht="33.65" customHeight="1">
      <c r="A9" s="473" t="s">
        <v>489</v>
      </c>
      <c r="B9" s="473"/>
      <c r="C9" s="473"/>
      <c r="D9" s="473"/>
      <c r="E9" s="473"/>
      <c r="F9" s="473"/>
      <c r="G9" s="473"/>
      <c r="H9" s="473"/>
      <c r="I9" s="473"/>
      <c r="J9" s="473"/>
      <c r="K9" s="473"/>
    </row>
    <row r="10" spans="1:15" s="64" customFormat="1" ht="68.5" customHeight="1">
      <c r="A10" s="488" t="s">
        <v>549</v>
      </c>
      <c r="B10" s="488"/>
      <c r="C10" s="488"/>
      <c r="D10" s="488"/>
      <c r="E10" s="488"/>
      <c r="F10" s="488"/>
      <c r="G10" s="488"/>
      <c r="H10" s="488"/>
      <c r="I10" s="488"/>
      <c r="J10" s="488"/>
      <c r="K10" s="488"/>
    </row>
    <row r="11" spans="1:15" s="64" customFormat="1" ht="33.65" customHeight="1">
      <c r="A11" s="473" t="s">
        <v>490</v>
      </c>
      <c r="B11" s="473"/>
      <c r="C11" s="473"/>
      <c r="D11" s="473"/>
      <c r="E11" s="473"/>
      <c r="F11" s="473"/>
      <c r="G11" s="473"/>
      <c r="H11" s="473"/>
      <c r="I11" s="473"/>
      <c r="J11" s="473"/>
      <c r="K11" s="473"/>
    </row>
    <row r="12" spans="1:15" s="64" customFormat="1" ht="34" customHeight="1">
      <c r="A12" s="473" t="s">
        <v>491</v>
      </c>
      <c r="B12" s="473"/>
      <c r="C12" s="473"/>
      <c r="D12" s="473"/>
      <c r="E12" s="473"/>
      <c r="F12" s="473"/>
      <c r="G12" s="473"/>
      <c r="H12" s="473"/>
      <c r="I12" s="473"/>
      <c r="J12" s="473"/>
      <c r="K12" s="473"/>
    </row>
    <row r="13" spans="1:15" s="64" customFormat="1" ht="50.15" customHeight="1">
      <c r="A13" s="473" t="s">
        <v>492</v>
      </c>
      <c r="B13" s="473"/>
      <c r="C13" s="473"/>
      <c r="D13" s="473"/>
      <c r="E13" s="473"/>
      <c r="F13" s="473"/>
      <c r="G13" s="473"/>
      <c r="H13" s="473"/>
      <c r="I13" s="473"/>
      <c r="J13" s="473"/>
      <c r="K13" s="473"/>
    </row>
    <row r="14" spans="1:15" s="64" customFormat="1" ht="34" customHeight="1">
      <c r="A14" s="489" t="s">
        <v>493</v>
      </c>
      <c r="B14" s="489"/>
      <c r="C14" s="489"/>
      <c r="D14" s="489"/>
      <c r="E14" s="489"/>
      <c r="F14" s="489"/>
      <c r="G14" s="489"/>
      <c r="H14" s="489"/>
      <c r="I14" s="489"/>
      <c r="J14" s="489"/>
      <c r="K14" s="489"/>
    </row>
    <row r="15" spans="1:15" s="64" customFormat="1" ht="58.5" customHeight="1">
      <c r="A15" s="473" t="s">
        <v>494</v>
      </c>
      <c r="B15" s="473"/>
      <c r="C15" s="473"/>
      <c r="D15" s="473"/>
      <c r="E15" s="473"/>
      <c r="F15" s="473"/>
      <c r="G15" s="473"/>
      <c r="H15" s="473"/>
      <c r="I15" s="473"/>
      <c r="J15" s="473"/>
      <c r="K15" s="473"/>
    </row>
    <row r="16" spans="1:15" s="64" customFormat="1" ht="34" customHeight="1">
      <c r="A16" s="473" t="s">
        <v>495</v>
      </c>
      <c r="B16" s="473"/>
      <c r="C16" s="473"/>
      <c r="D16" s="473"/>
      <c r="E16" s="473"/>
      <c r="F16" s="473"/>
      <c r="G16" s="473"/>
      <c r="H16" s="473"/>
      <c r="I16" s="473"/>
      <c r="J16" s="473"/>
      <c r="K16" s="473"/>
    </row>
    <row r="17" spans="1:11" s="64" customFormat="1" ht="34" customHeight="1">
      <c r="A17" s="474" t="s">
        <v>496</v>
      </c>
      <c r="B17" s="475"/>
      <c r="C17" s="475"/>
      <c r="D17" s="475"/>
      <c r="E17" s="475"/>
      <c r="F17" s="475"/>
      <c r="G17" s="475"/>
      <c r="H17" s="475"/>
      <c r="I17" s="475"/>
      <c r="J17" s="475"/>
      <c r="K17" s="476"/>
    </row>
    <row r="18" spans="1:11" s="64" customFormat="1" ht="17.5" customHeight="1">
      <c r="A18" s="473" t="s">
        <v>497</v>
      </c>
      <c r="B18" s="473"/>
      <c r="C18" s="473"/>
      <c r="D18" s="473"/>
      <c r="E18" s="473"/>
      <c r="F18" s="473"/>
      <c r="G18" s="473"/>
      <c r="H18" s="473"/>
      <c r="I18" s="473"/>
      <c r="J18" s="473"/>
      <c r="K18" s="473"/>
    </row>
    <row r="19" spans="1:11" s="64" customFormat="1" ht="45.5" customHeight="1">
      <c r="A19" s="473" t="s">
        <v>498</v>
      </c>
      <c r="B19" s="473"/>
      <c r="C19" s="473"/>
      <c r="D19" s="473"/>
      <c r="E19" s="473"/>
      <c r="F19" s="473"/>
      <c r="G19" s="473"/>
      <c r="H19" s="473"/>
      <c r="I19" s="473"/>
      <c r="J19" s="473"/>
      <c r="K19" s="473"/>
    </row>
    <row r="20" spans="1:11" s="64" customFormat="1" ht="17.149999999999999" customHeight="1">
      <c r="A20" s="473" t="s">
        <v>499</v>
      </c>
      <c r="B20" s="473"/>
      <c r="C20" s="473"/>
      <c r="D20" s="473"/>
      <c r="E20" s="473"/>
      <c r="F20" s="473"/>
      <c r="G20" s="473"/>
      <c r="H20" s="473"/>
      <c r="I20" s="473"/>
      <c r="J20" s="473"/>
      <c r="K20" s="473"/>
    </row>
    <row r="21" spans="1:11" s="64" customFormat="1" ht="58.5" customHeight="1">
      <c r="A21" s="473" t="s">
        <v>500</v>
      </c>
      <c r="B21" s="473"/>
      <c r="C21" s="473"/>
      <c r="D21" s="473"/>
      <c r="E21" s="473"/>
      <c r="F21" s="473"/>
      <c r="G21" s="473"/>
      <c r="H21" s="473"/>
      <c r="I21" s="473"/>
      <c r="J21" s="473"/>
      <c r="K21" s="473"/>
    </row>
    <row r="22" spans="1:11" s="64" customFormat="1" ht="30" customHeight="1">
      <c r="A22" s="473" t="s">
        <v>501</v>
      </c>
      <c r="B22" s="473"/>
      <c r="C22" s="473"/>
      <c r="D22" s="473"/>
      <c r="E22" s="473"/>
      <c r="F22" s="473"/>
      <c r="G22" s="473"/>
      <c r="H22" s="473"/>
      <c r="I22" s="473"/>
      <c r="J22" s="473"/>
      <c r="K22" s="473"/>
    </row>
    <row r="23" spans="1:11" s="64" customFormat="1" ht="31" customHeight="1">
      <c r="A23" s="473" t="s">
        <v>502</v>
      </c>
      <c r="B23" s="473"/>
      <c r="C23" s="473"/>
      <c r="D23" s="473"/>
      <c r="E23" s="473"/>
      <c r="F23" s="473"/>
      <c r="G23" s="473"/>
      <c r="H23" s="473"/>
      <c r="I23" s="473"/>
      <c r="J23" s="473"/>
      <c r="K23" s="473"/>
    </row>
    <row r="24" spans="1:11" s="64" customFormat="1" ht="17.5" customHeight="1">
      <c r="A24" s="473" t="s">
        <v>503</v>
      </c>
      <c r="B24" s="473"/>
      <c r="C24" s="473"/>
      <c r="D24" s="473"/>
      <c r="E24" s="473"/>
      <c r="F24" s="473"/>
      <c r="G24" s="473"/>
      <c r="H24" s="473"/>
      <c r="I24" s="473"/>
      <c r="J24" s="473"/>
      <c r="K24" s="473"/>
    </row>
    <row r="25" spans="1:11" s="64" customFormat="1" ht="34" customHeight="1">
      <c r="A25" s="473" t="s">
        <v>569</v>
      </c>
      <c r="B25" s="473"/>
      <c r="C25" s="473"/>
      <c r="D25" s="473"/>
      <c r="E25" s="473"/>
      <c r="F25" s="473"/>
      <c r="G25" s="473"/>
      <c r="H25" s="473"/>
      <c r="I25" s="473"/>
      <c r="J25" s="473"/>
      <c r="K25" s="473"/>
    </row>
    <row r="26" spans="1:11" s="64" customFormat="1" ht="19.5" customHeight="1">
      <c r="A26" s="473" t="s">
        <v>570</v>
      </c>
      <c r="B26" s="473"/>
      <c r="C26" s="473"/>
      <c r="D26" s="473"/>
      <c r="E26" s="473"/>
      <c r="F26" s="473"/>
      <c r="G26" s="473"/>
      <c r="H26" s="473"/>
      <c r="I26" s="473"/>
      <c r="J26" s="473"/>
      <c r="K26" s="473"/>
    </row>
    <row r="27" spans="1:11" s="64" customFormat="1" ht="32" customHeight="1">
      <c r="A27" s="473" t="s">
        <v>571</v>
      </c>
      <c r="B27" s="473"/>
      <c r="C27" s="473"/>
      <c r="D27" s="473"/>
      <c r="E27" s="473"/>
      <c r="F27" s="473"/>
      <c r="G27" s="473"/>
      <c r="H27" s="473"/>
      <c r="I27" s="473"/>
      <c r="J27" s="473"/>
      <c r="K27" s="473"/>
    </row>
    <row r="28" spans="1:11" ht="40" customHeight="1"/>
  </sheetData>
  <mergeCells count="27">
    <mergeCell ref="A27:K27"/>
    <mergeCell ref="A6:K6"/>
    <mergeCell ref="A7:K7"/>
    <mergeCell ref="A8:K8"/>
    <mergeCell ref="A1:K1"/>
    <mergeCell ref="A2:K2"/>
    <mergeCell ref="A3:K3"/>
    <mergeCell ref="A4:I4"/>
    <mergeCell ref="J4:K4"/>
    <mergeCell ref="A9:K9"/>
    <mergeCell ref="A10:K10"/>
    <mergeCell ref="A11:K11"/>
    <mergeCell ref="A12:K12"/>
    <mergeCell ref="A13:K13"/>
    <mergeCell ref="A14:K14"/>
    <mergeCell ref="A15:K15"/>
    <mergeCell ref="A16:K16"/>
    <mergeCell ref="A18:K18"/>
    <mergeCell ref="A19:K19"/>
    <mergeCell ref="A25:K25"/>
    <mergeCell ref="A17:K17"/>
    <mergeCell ref="A26:K26"/>
    <mergeCell ref="A20:K20"/>
    <mergeCell ref="A21:K21"/>
    <mergeCell ref="A22:K22"/>
    <mergeCell ref="A23:K23"/>
    <mergeCell ref="A24:K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27"/>
  <sheetViews>
    <sheetView showGridLines="0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8" sqref="A8:A27"/>
    </sheetView>
  </sheetViews>
  <sheetFormatPr defaultRowHeight="15.5"/>
  <cols>
    <col min="1" max="1" width="14.1796875" style="66" customWidth="1"/>
    <col min="2" max="2" width="29.81640625" style="66" customWidth="1"/>
    <col min="3" max="3" width="17.26953125" style="66" customWidth="1"/>
    <col min="4" max="4" width="1.453125" style="66" customWidth="1"/>
    <col min="5" max="5" width="15.54296875" style="66" customWidth="1"/>
    <col min="6" max="6" width="16" style="66" customWidth="1"/>
    <col min="7" max="7" width="15.1796875" style="66" customWidth="1"/>
    <col min="8" max="8" width="1.453125" style="66" customWidth="1"/>
    <col min="9" max="9" width="16.54296875" style="66" customWidth="1"/>
    <col min="10" max="10" width="16.1796875" style="66" customWidth="1"/>
    <col min="11" max="11" width="14.54296875" style="66" customWidth="1"/>
    <col min="12" max="12" width="1.453125" style="35" customWidth="1"/>
    <col min="13" max="13" width="18.26953125" style="66" customWidth="1"/>
    <col min="14" max="14" width="14.7265625" style="66" customWidth="1"/>
    <col min="15" max="15" width="15.1796875" style="66" customWidth="1"/>
    <col min="16" max="16" width="1.453125" style="66" customWidth="1"/>
    <col min="17" max="17" width="20.1796875" style="66" customWidth="1"/>
    <col min="18" max="18" width="14.81640625" style="66" customWidth="1"/>
    <col min="19" max="19" width="15.26953125" style="66" customWidth="1"/>
    <col min="20" max="20" width="1.453125" style="66" customWidth="1"/>
    <col min="21" max="21" width="20.1796875" style="66" customWidth="1"/>
    <col min="22" max="22" width="14.81640625" style="66" customWidth="1"/>
    <col min="23" max="23" width="15.26953125" style="66" customWidth="1"/>
    <col min="24" max="24" width="1.453125" style="66" customWidth="1"/>
    <col min="25" max="25" width="20.1796875" style="66" customWidth="1"/>
    <col min="26" max="26" width="14.81640625" style="66" customWidth="1"/>
    <col min="27" max="27" width="15.26953125" style="66" customWidth="1"/>
    <col min="28" max="28" width="1.453125" style="66" customWidth="1"/>
    <col min="29" max="29" width="20.1796875" style="66" customWidth="1"/>
    <col min="30" max="30" width="14.81640625" style="66" customWidth="1"/>
    <col min="31" max="31" width="15.26953125" style="66" customWidth="1"/>
    <col min="32" max="32" width="1.453125" style="66" customWidth="1"/>
    <col min="33" max="33" width="20.1796875" style="66" customWidth="1"/>
    <col min="34" max="34" width="14.81640625" style="66" customWidth="1"/>
    <col min="35" max="35" width="15.26953125" style="66" customWidth="1"/>
    <col min="36" max="36" width="1.453125" style="66" customWidth="1"/>
    <col min="37" max="37" width="20.1796875" style="66" customWidth="1"/>
    <col min="38" max="38" width="14.81640625" style="66" customWidth="1"/>
    <col min="39" max="39" width="15.26953125" style="66" customWidth="1"/>
    <col min="40" max="994" width="9.54296875" style="66" customWidth="1"/>
    <col min="995" max="16384" width="8.7265625" style="66"/>
  </cols>
  <sheetData>
    <row r="1" spans="1:39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/>
      <c r="AB1" s="480"/>
      <c r="AC1" s="480"/>
      <c r="AD1" s="480"/>
      <c r="AE1" s="480"/>
      <c r="AF1" s="480"/>
      <c r="AG1" s="480"/>
      <c r="AH1" s="480"/>
      <c r="AI1" s="480"/>
      <c r="AJ1" s="480"/>
      <c r="AK1" s="480"/>
      <c r="AL1" s="480"/>
      <c r="AM1" s="480"/>
    </row>
    <row r="2" spans="1:39" s="64" customFormat="1" ht="22" customHeight="1">
      <c r="A2" s="481" t="s">
        <v>135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481"/>
      <c r="Z2" s="481"/>
      <c r="AA2" s="481"/>
      <c r="AB2" s="481"/>
      <c r="AC2" s="481"/>
      <c r="AD2" s="481"/>
      <c r="AE2" s="481"/>
      <c r="AF2" s="481"/>
      <c r="AG2" s="481"/>
      <c r="AH2" s="481"/>
      <c r="AI2" s="481"/>
      <c r="AJ2" s="481"/>
      <c r="AK2" s="481"/>
      <c r="AL2" s="481"/>
      <c r="AM2" s="481"/>
    </row>
    <row r="3" spans="1:39" s="64" customFormat="1" ht="6" customHeight="1">
      <c r="A3" s="101"/>
      <c r="L3" s="35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39" s="64" customFormat="1" ht="18" customHeight="1">
      <c r="A4" s="600" t="s">
        <v>1</v>
      </c>
      <c r="B4" s="600"/>
      <c r="C4" s="600"/>
      <c r="D4" s="600"/>
      <c r="E4" s="600"/>
      <c r="F4" s="600"/>
      <c r="G4" s="600"/>
      <c r="H4" s="600"/>
      <c r="I4" s="600"/>
      <c r="J4" s="486" t="str">
        <f>CCT!J4</f>
        <v>10707.720194-2025-26</v>
      </c>
      <c r="K4" s="696"/>
      <c r="L4" s="696"/>
      <c r="M4" s="696"/>
      <c r="N4" s="696"/>
      <c r="O4" s="696"/>
      <c r="P4" s="696"/>
      <c r="Q4" s="696"/>
      <c r="R4" s="696"/>
      <c r="S4" s="696"/>
      <c r="T4" s="696"/>
      <c r="U4" s="696"/>
      <c r="V4" s="696"/>
      <c r="W4" s="696"/>
      <c r="X4" s="696"/>
      <c r="Y4" s="696"/>
      <c r="Z4" s="696"/>
      <c r="AA4" s="696"/>
      <c r="AB4" s="696"/>
      <c r="AC4" s="696"/>
      <c r="AD4" s="696"/>
      <c r="AE4" s="696"/>
      <c r="AF4" s="696"/>
      <c r="AG4" s="696"/>
      <c r="AH4" s="696"/>
      <c r="AI4" s="696"/>
      <c r="AJ4" s="696"/>
      <c r="AK4" s="696"/>
      <c r="AL4" s="696"/>
      <c r="AM4" s="487"/>
    </row>
    <row r="5" spans="1:39" s="64" customFormat="1" ht="9" customHeight="1">
      <c r="L5" s="35"/>
    </row>
    <row r="6" spans="1:39" s="64" customFormat="1" ht="18" customHeight="1">
      <c r="A6" s="477" t="s">
        <v>2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477"/>
      <c r="AF6" s="477"/>
      <c r="AG6" s="477"/>
      <c r="AH6" s="477"/>
      <c r="AI6" s="477"/>
      <c r="AJ6" s="477"/>
      <c r="AK6" s="477"/>
      <c r="AL6" s="477"/>
      <c r="AM6" s="477"/>
    </row>
    <row r="7" spans="1:39" ht="11.15" customHeight="1" thickBot="1">
      <c r="B7" s="132"/>
      <c r="C7" s="132"/>
      <c r="D7" s="132"/>
      <c r="E7" s="132"/>
      <c r="F7" s="132"/>
      <c r="G7" s="132"/>
      <c r="H7" s="132"/>
      <c r="I7" s="132"/>
      <c r="J7" s="132"/>
      <c r="K7" s="132"/>
      <c r="O7" s="132"/>
      <c r="S7" s="132"/>
      <c r="W7" s="132"/>
      <c r="AA7" s="132"/>
      <c r="AE7" s="132"/>
      <c r="AI7" s="132"/>
      <c r="AM7" s="132"/>
    </row>
    <row r="8" spans="1:39" ht="18" customHeight="1">
      <c r="A8" s="729" t="s">
        <v>153</v>
      </c>
      <c r="B8" s="672" t="s">
        <v>57</v>
      </c>
      <c r="C8" s="721" t="s">
        <v>512</v>
      </c>
      <c r="D8" s="201"/>
      <c r="E8" s="726" t="s">
        <v>136</v>
      </c>
      <c r="F8" s="727"/>
      <c r="G8" s="728"/>
      <c r="H8" s="202"/>
      <c r="I8" s="722" t="s">
        <v>137</v>
      </c>
      <c r="J8" s="722"/>
      <c r="K8" s="722"/>
      <c r="L8" s="203"/>
      <c r="M8" s="703" t="s">
        <v>138</v>
      </c>
      <c r="N8" s="703"/>
      <c r="O8" s="703"/>
      <c r="P8" s="202"/>
      <c r="Q8" s="723" t="s">
        <v>139</v>
      </c>
      <c r="R8" s="724"/>
      <c r="S8" s="725"/>
      <c r="T8" s="204"/>
      <c r="U8" s="704" t="s">
        <v>140</v>
      </c>
      <c r="V8" s="705"/>
      <c r="W8" s="706"/>
      <c r="X8" s="204"/>
      <c r="Y8" s="707" t="s">
        <v>141</v>
      </c>
      <c r="Z8" s="708"/>
      <c r="AA8" s="709"/>
      <c r="AB8" s="204"/>
      <c r="AC8" s="710" t="s">
        <v>142</v>
      </c>
      <c r="AD8" s="711"/>
      <c r="AE8" s="712"/>
      <c r="AF8" s="204"/>
      <c r="AG8" s="713" t="s">
        <v>143</v>
      </c>
      <c r="AH8" s="714"/>
      <c r="AI8" s="715"/>
      <c r="AJ8" s="204"/>
      <c r="AK8" s="716" t="s">
        <v>144</v>
      </c>
      <c r="AL8" s="717"/>
      <c r="AM8" s="718"/>
    </row>
    <row r="9" spans="1:39" ht="45" customHeight="1">
      <c r="A9" s="730"/>
      <c r="B9" s="672"/>
      <c r="C9" s="721"/>
      <c r="D9" s="205"/>
      <c r="E9" s="206" t="s">
        <v>513</v>
      </c>
      <c r="F9" s="146" t="s">
        <v>511</v>
      </c>
      <c r="G9" s="149" t="s">
        <v>60</v>
      </c>
      <c r="H9" s="188"/>
      <c r="I9" s="207" t="s">
        <v>513</v>
      </c>
      <c r="J9" s="146" t="s">
        <v>511</v>
      </c>
      <c r="K9" s="149" t="s">
        <v>60</v>
      </c>
      <c r="L9" s="208"/>
      <c r="M9" s="209" t="s">
        <v>513</v>
      </c>
      <c r="N9" s="149" t="s">
        <v>511</v>
      </c>
      <c r="O9" s="149" t="s">
        <v>60</v>
      </c>
      <c r="P9" s="188"/>
      <c r="Q9" s="209" t="s">
        <v>513</v>
      </c>
      <c r="R9" s="149" t="s">
        <v>511</v>
      </c>
      <c r="S9" s="149" t="s">
        <v>60</v>
      </c>
      <c r="T9" s="210"/>
      <c r="U9" s="211" t="s">
        <v>513</v>
      </c>
      <c r="V9" s="149" t="s">
        <v>511</v>
      </c>
      <c r="W9" s="149" t="s">
        <v>60</v>
      </c>
      <c r="X9" s="210"/>
      <c r="Y9" s="211" t="s">
        <v>513</v>
      </c>
      <c r="Z9" s="149" t="s">
        <v>511</v>
      </c>
      <c r="AA9" s="149" t="s">
        <v>60</v>
      </c>
      <c r="AB9" s="210"/>
      <c r="AC9" s="211" t="s">
        <v>513</v>
      </c>
      <c r="AD9" s="149" t="s">
        <v>511</v>
      </c>
      <c r="AE9" s="149" t="s">
        <v>60</v>
      </c>
      <c r="AF9" s="210"/>
      <c r="AG9" s="211" t="s">
        <v>513</v>
      </c>
      <c r="AH9" s="149" t="s">
        <v>511</v>
      </c>
      <c r="AI9" s="149" t="s">
        <v>60</v>
      </c>
      <c r="AJ9" s="210"/>
      <c r="AK9" s="209" t="s">
        <v>513</v>
      </c>
      <c r="AL9" s="149" t="s">
        <v>511</v>
      </c>
      <c r="AM9" s="149" t="s">
        <v>60</v>
      </c>
    </row>
    <row r="10" spans="1:39" ht="18" customHeight="1">
      <c r="A10" s="730"/>
      <c r="B10" s="680" t="s">
        <v>41</v>
      </c>
      <c r="C10" s="678"/>
      <c r="D10" s="212"/>
      <c r="E10" s="152"/>
      <c r="F10" s="213"/>
      <c r="G10" s="213"/>
      <c r="H10" s="188"/>
      <c r="I10" s="213"/>
      <c r="J10" s="213"/>
      <c r="K10" s="213"/>
      <c r="L10" s="208"/>
      <c r="M10" s="213"/>
      <c r="N10" s="213"/>
      <c r="O10" s="213"/>
      <c r="P10" s="188"/>
      <c r="Q10" s="213"/>
      <c r="R10" s="213"/>
      <c r="S10" s="154"/>
      <c r="T10" s="210"/>
      <c r="U10" s="152"/>
      <c r="V10" s="213"/>
      <c r="W10" s="154"/>
      <c r="X10" s="210"/>
      <c r="Y10" s="152"/>
      <c r="Z10" s="213"/>
      <c r="AA10" s="154"/>
      <c r="AB10" s="210"/>
      <c r="AC10" s="152"/>
      <c r="AD10" s="213"/>
      <c r="AE10" s="154"/>
      <c r="AF10" s="210"/>
      <c r="AG10" s="152"/>
      <c r="AH10" s="213"/>
      <c r="AI10" s="154"/>
      <c r="AJ10" s="210"/>
      <c r="AK10" s="213"/>
      <c r="AL10" s="213"/>
      <c r="AM10" s="154"/>
    </row>
    <row r="11" spans="1:39" s="69" customFormat="1" ht="18" customHeight="1">
      <c r="A11" s="730"/>
      <c r="B11" s="214" t="s">
        <v>42</v>
      </c>
      <c r="C11" s="111">
        <v>1200</v>
      </c>
      <c r="D11" s="215"/>
      <c r="E11" s="216">
        <f>$C$11</f>
        <v>1200</v>
      </c>
      <c r="F11" s="160"/>
      <c r="G11" s="217">
        <f>ROUND(F11/E11,4)</f>
        <v>0</v>
      </c>
      <c r="H11" s="218"/>
      <c r="I11" s="219">
        <f>$C$11</f>
        <v>1200</v>
      </c>
      <c r="J11" s="160"/>
      <c r="K11" s="217">
        <f>ROUND(J11/I11,4)</f>
        <v>0</v>
      </c>
      <c r="L11" s="220"/>
      <c r="M11" s="219">
        <f>$C$11</f>
        <v>1200</v>
      </c>
      <c r="N11" s="160"/>
      <c r="O11" s="217">
        <f>ROUND(N11/M11,4)</f>
        <v>0</v>
      </c>
      <c r="P11" s="218"/>
      <c r="Q11" s="219">
        <f>$C$11</f>
        <v>1200</v>
      </c>
      <c r="R11" s="160"/>
      <c r="S11" s="161">
        <f>ROUND(R11/Q11,4)</f>
        <v>0</v>
      </c>
      <c r="T11" s="221"/>
      <c r="U11" s="219">
        <f>$C$11</f>
        <v>1200</v>
      </c>
      <c r="V11" s="160"/>
      <c r="W11" s="217">
        <f>ROUND(V11/U11,4)</f>
        <v>0</v>
      </c>
      <c r="X11" s="218"/>
      <c r="Y11" s="219">
        <f>$C$11</f>
        <v>1200</v>
      </c>
      <c r="Z11" s="160"/>
      <c r="AA11" s="217">
        <f>ROUND(Z11/Y11,4)</f>
        <v>0</v>
      </c>
      <c r="AB11" s="218"/>
      <c r="AC11" s="219">
        <f>$C$11</f>
        <v>1200</v>
      </c>
      <c r="AD11" s="160"/>
      <c r="AE11" s="217">
        <f>ROUND(AD11/AC11,4)</f>
        <v>0</v>
      </c>
      <c r="AF11" s="218"/>
      <c r="AG11" s="219">
        <f>$C$11</f>
        <v>1200</v>
      </c>
      <c r="AH11" s="164">
        <v>113.51</v>
      </c>
      <c r="AI11" s="217">
        <f>ROUND(AH11/AG11,4)</f>
        <v>9.4600000000000004E-2</v>
      </c>
      <c r="AJ11" s="218"/>
      <c r="AK11" s="219">
        <f>$C$11</f>
        <v>1200</v>
      </c>
      <c r="AL11" s="160"/>
      <c r="AM11" s="161">
        <f>ROUND(AL11/AK11,4)</f>
        <v>0</v>
      </c>
    </row>
    <row r="12" spans="1:39" ht="18" customHeight="1">
      <c r="A12" s="730"/>
      <c r="B12" s="165" t="s">
        <v>43</v>
      </c>
      <c r="C12" s="111">
        <v>1200</v>
      </c>
      <c r="D12" s="222"/>
      <c r="E12" s="216">
        <f>$C$12</f>
        <v>1200</v>
      </c>
      <c r="F12" s="158">
        <v>5752.5</v>
      </c>
      <c r="G12" s="217">
        <f>ROUND(F12/E12,4)</f>
        <v>4.7938000000000001</v>
      </c>
      <c r="H12" s="218"/>
      <c r="I12" s="223">
        <v>241.47</v>
      </c>
      <c r="J12" s="164">
        <v>220</v>
      </c>
      <c r="K12" s="217">
        <f>ROUND(J12/I12,4)</f>
        <v>0.91110000000000002</v>
      </c>
      <c r="L12" s="220"/>
      <c r="M12" s="223">
        <v>163.19999999999999</v>
      </c>
      <c r="N12" s="164">
        <v>151.5</v>
      </c>
      <c r="O12" s="217">
        <f>ROUND(N12/M12,4)</f>
        <v>0.92830000000000001</v>
      </c>
      <c r="P12" s="218"/>
      <c r="Q12" s="224">
        <v>358</v>
      </c>
      <c r="R12" s="164">
        <v>315.23</v>
      </c>
      <c r="S12" s="161">
        <f>ROUND(R12/Q12,4)</f>
        <v>0.88049999999999995</v>
      </c>
      <c r="T12" s="221"/>
      <c r="U12" s="223">
        <v>666.98</v>
      </c>
      <c r="V12" s="164">
        <v>570</v>
      </c>
      <c r="W12" s="217">
        <f>ROUND(V12/U12,4)</f>
        <v>0.85460000000000003</v>
      </c>
      <c r="X12" s="218"/>
      <c r="Y12" s="224">
        <v>528</v>
      </c>
      <c r="Z12" s="164">
        <v>290.73</v>
      </c>
      <c r="AA12" s="217">
        <f>ROUND(Z12/Y12,4)</f>
        <v>0.55059999999999998</v>
      </c>
      <c r="AB12" s="218"/>
      <c r="AC12" s="224">
        <v>215</v>
      </c>
      <c r="AD12" s="164">
        <v>193.96</v>
      </c>
      <c r="AE12" s="217">
        <f>ROUND(AD12/AC12,4)</f>
        <v>0.90210000000000001</v>
      </c>
      <c r="AF12" s="218"/>
      <c r="AG12" s="223">
        <v>1519.04</v>
      </c>
      <c r="AH12" s="164">
        <v>1504.76</v>
      </c>
      <c r="AI12" s="217">
        <f>ROUND(AH12/AG12,4)</f>
        <v>0.99060000000000004</v>
      </c>
      <c r="AJ12" s="218"/>
      <c r="AK12" s="219">
        <v>1200</v>
      </c>
      <c r="AL12" s="164">
        <v>437.44</v>
      </c>
      <c r="AM12" s="161">
        <f>ROUND(AL12/AK12,4)</f>
        <v>0.36449999999999999</v>
      </c>
    </row>
    <row r="13" spans="1:39" ht="18" customHeight="1">
      <c r="A13" s="730"/>
      <c r="B13" s="165" t="s">
        <v>44</v>
      </c>
      <c r="C13" s="111">
        <v>450</v>
      </c>
      <c r="D13" s="222"/>
      <c r="E13" s="216">
        <f>$C$13</f>
        <v>450</v>
      </c>
      <c r="F13" s="167"/>
      <c r="G13" s="217">
        <f>ROUND(F13/E13,4)</f>
        <v>0</v>
      </c>
      <c r="H13" s="218"/>
      <c r="I13" s="219">
        <f>$C$13</f>
        <v>450</v>
      </c>
      <c r="J13" s="167"/>
      <c r="K13" s="217">
        <f>ROUND(J13/I13,4)</f>
        <v>0</v>
      </c>
      <c r="L13" s="220"/>
      <c r="M13" s="219">
        <f>$C$13</f>
        <v>450</v>
      </c>
      <c r="N13" s="167"/>
      <c r="O13" s="217">
        <f>ROUND(N13/M13,4)</f>
        <v>0</v>
      </c>
      <c r="P13" s="218"/>
      <c r="Q13" s="219">
        <f>$C$13</f>
        <v>450</v>
      </c>
      <c r="R13" s="167"/>
      <c r="S13" s="161">
        <f>ROUND(R13/Q13,4)</f>
        <v>0</v>
      </c>
      <c r="T13" s="221"/>
      <c r="U13" s="219">
        <f>$C$13</f>
        <v>450</v>
      </c>
      <c r="V13" s="167"/>
      <c r="W13" s="217">
        <f>ROUND(V13/U13,4)</f>
        <v>0</v>
      </c>
      <c r="X13" s="218"/>
      <c r="Y13" s="219">
        <f>$C$13</f>
        <v>450</v>
      </c>
      <c r="Z13" s="167"/>
      <c r="AA13" s="217">
        <f>ROUND(Z13/Y13,4)</f>
        <v>0</v>
      </c>
      <c r="AB13" s="218"/>
      <c r="AC13" s="219">
        <f>$C$13</f>
        <v>450</v>
      </c>
      <c r="AD13" s="167"/>
      <c r="AE13" s="217">
        <f>ROUND(AD13/AC13,4)</f>
        <v>0</v>
      </c>
      <c r="AF13" s="218"/>
      <c r="AG13" s="219">
        <f>$C$13</f>
        <v>450</v>
      </c>
      <c r="AH13" s="164">
        <v>31.21</v>
      </c>
      <c r="AI13" s="217">
        <f>ROUND(AH13/AG13,4)</f>
        <v>6.9400000000000003E-2</v>
      </c>
      <c r="AJ13" s="218"/>
      <c r="AK13" s="219">
        <f>$C$13</f>
        <v>450</v>
      </c>
      <c r="AL13" s="167"/>
      <c r="AM13" s="161">
        <f>ROUND(AL13/AK13,4)</f>
        <v>0</v>
      </c>
    </row>
    <row r="14" spans="1:39" ht="18" customHeight="1">
      <c r="A14" s="730"/>
      <c r="B14" s="165" t="s">
        <v>45</v>
      </c>
      <c r="C14" s="111">
        <v>2500</v>
      </c>
      <c r="D14" s="222"/>
      <c r="E14" s="216">
        <f>$C$14</f>
        <v>2500</v>
      </c>
      <c r="F14" s="158">
        <v>409.05</v>
      </c>
      <c r="G14" s="217">
        <f>ROUND(F14/E14,4)</f>
        <v>0.1636</v>
      </c>
      <c r="H14" s="218"/>
      <c r="I14" s="219">
        <f>$C$14</f>
        <v>2500</v>
      </c>
      <c r="J14" s="164">
        <v>6</v>
      </c>
      <c r="K14" s="217">
        <f>ROUND(J14/I14,4)</f>
        <v>2.3999999999999998E-3</v>
      </c>
      <c r="L14" s="220"/>
      <c r="M14" s="219">
        <f>$C$14</f>
        <v>2500</v>
      </c>
      <c r="N14" s="164"/>
      <c r="O14" s="217">
        <f>ROUND(N14/M14,4)</f>
        <v>0</v>
      </c>
      <c r="P14" s="218"/>
      <c r="Q14" s="219">
        <f>$C$14</f>
        <v>2500</v>
      </c>
      <c r="R14" s="167"/>
      <c r="S14" s="161">
        <f>ROUND(R14/Q14,4)</f>
        <v>0</v>
      </c>
      <c r="T14" s="221"/>
      <c r="U14" s="219">
        <f>$C$14</f>
        <v>2500</v>
      </c>
      <c r="V14" s="167"/>
      <c r="W14" s="217">
        <f>ROUND(V14/U14,4)</f>
        <v>0</v>
      </c>
      <c r="X14" s="218"/>
      <c r="Y14" s="219">
        <f>$C$14</f>
        <v>2500</v>
      </c>
      <c r="Z14" s="164">
        <v>16.64</v>
      </c>
      <c r="AA14" s="217">
        <f>ROUND(Z14/Y14,4)</f>
        <v>6.7000000000000002E-3</v>
      </c>
      <c r="AB14" s="218"/>
      <c r="AC14" s="219">
        <f>$C$14</f>
        <v>2500</v>
      </c>
      <c r="AD14" s="164">
        <v>41.35</v>
      </c>
      <c r="AE14" s="217">
        <f>ROUND(AD14/AC14,4)</f>
        <v>1.6500000000000001E-2</v>
      </c>
      <c r="AF14" s="218"/>
      <c r="AG14" s="219">
        <f>$C$14</f>
        <v>2500</v>
      </c>
      <c r="AH14" s="164">
        <v>90</v>
      </c>
      <c r="AI14" s="217">
        <f>ROUND(AH14/AG14,4)</f>
        <v>3.5999999999999997E-2</v>
      </c>
      <c r="AJ14" s="218"/>
      <c r="AK14" s="219">
        <v>2500</v>
      </c>
      <c r="AL14" s="164">
        <v>314.14999999999998</v>
      </c>
      <c r="AM14" s="161">
        <f>ROUND(AL14/AK14,4)</f>
        <v>0.12570000000000001</v>
      </c>
    </row>
    <row r="15" spans="1:39" ht="30" customHeight="1">
      <c r="A15" s="730"/>
      <c r="B15" s="165" t="s">
        <v>46</v>
      </c>
      <c r="C15" s="111">
        <v>1500</v>
      </c>
      <c r="D15" s="222"/>
      <c r="E15" s="216">
        <f>$C$15</f>
        <v>1500</v>
      </c>
      <c r="F15" s="158">
        <v>624.16999999999996</v>
      </c>
      <c r="G15" s="225">
        <f>ROUND(F15/E15,4)</f>
        <v>0.41610000000000003</v>
      </c>
      <c r="H15" s="218"/>
      <c r="I15" s="219">
        <f>$C$15</f>
        <v>1500</v>
      </c>
      <c r="J15" s="168"/>
      <c r="K15" s="225">
        <f>ROUND(J15/I15,4)</f>
        <v>0</v>
      </c>
      <c r="L15" s="220"/>
      <c r="M15" s="219">
        <f>$C$15</f>
        <v>1500</v>
      </c>
      <c r="N15" s="168"/>
      <c r="O15" s="225">
        <f>ROUND(N15/M15,4)</f>
        <v>0</v>
      </c>
      <c r="P15" s="218"/>
      <c r="Q15" s="219">
        <f>$C$15</f>
        <v>1500</v>
      </c>
      <c r="R15" s="168"/>
      <c r="S15" s="185">
        <f>ROUND(R15/Q15,4)</f>
        <v>0</v>
      </c>
      <c r="T15" s="221"/>
      <c r="U15" s="219">
        <f>$C$15</f>
        <v>1500</v>
      </c>
      <c r="V15" s="168"/>
      <c r="W15" s="225">
        <f>ROUND(V15/U15,4)</f>
        <v>0</v>
      </c>
      <c r="X15" s="218"/>
      <c r="Y15" s="219">
        <f>$C$15</f>
        <v>1500</v>
      </c>
      <c r="Z15" s="164">
        <v>125.26</v>
      </c>
      <c r="AA15" s="225">
        <f>ROUND(Z15/Y15,4)</f>
        <v>8.3500000000000005E-2</v>
      </c>
      <c r="AB15" s="218"/>
      <c r="AC15" s="219">
        <f>$C$15</f>
        <v>1500</v>
      </c>
      <c r="AD15" s="164">
        <v>24.54</v>
      </c>
      <c r="AE15" s="225">
        <f>ROUND(AD15/AC15,4)</f>
        <v>1.6400000000000001E-2</v>
      </c>
      <c r="AF15" s="218"/>
      <c r="AG15" s="219">
        <f>$C$15</f>
        <v>1500</v>
      </c>
      <c r="AH15" s="164">
        <v>452.37</v>
      </c>
      <c r="AI15" s="225">
        <f>ROUND(AH15/AG15,4)</f>
        <v>0.30159999999999998</v>
      </c>
      <c r="AJ15" s="218"/>
      <c r="AK15" s="219">
        <f>$C$15</f>
        <v>1500</v>
      </c>
      <c r="AL15" s="164">
        <v>80.66</v>
      </c>
      <c r="AM15" s="185">
        <f>ROUND(AL15/AK15,4)</f>
        <v>5.3800000000000001E-2</v>
      </c>
    </row>
    <row r="16" spans="1:39" ht="18" customHeight="1">
      <c r="A16" s="730"/>
      <c r="B16" s="169" t="s">
        <v>47</v>
      </c>
      <c r="C16" s="111">
        <v>300</v>
      </c>
      <c r="D16" s="222"/>
      <c r="E16" s="226">
        <v>380</v>
      </c>
      <c r="F16" s="158">
        <v>84.63</v>
      </c>
      <c r="G16" s="225">
        <f t="shared" ref="G16:G17" si="0">ROUND(F16/E16,4)</f>
        <v>0.22270000000000001</v>
      </c>
      <c r="H16" s="218"/>
      <c r="I16" s="219">
        <f>$C$16</f>
        <v>300</v>
      </c>
      <c r="J16" s="164">
        <v>4</v>
      </c>
      <c r="K16" s="225">
        <f t="shared" ref="K16:K17" si="1">ROUND(J16/I16,4)</f>
        <v>1.3299999999999999E-2</v>
      </c>
      <c r="L16" s="220"/>
      <c r="M16" s="219">
        <f>$C$16</f>
        <v>300</v>
      </c>
      <c r="N16" s="164">
        <v>2.89</v>
      </c>
      <c r="O16" s="225">
        <f t="shared" ref="O16:O17" si="2">ROUND(N16/M16,4)</f>
        <v>9.5999999999999992E-3</v>
      </c>
      <c r="P16" s="218"/>
      <c r="Q16" s="219">
        <f>$C$16</f>
        <v>300</v>
      </c>
      <c r="R16" s="164">
        <v>7.45</v>
      </c>
      <c r="S16" s="185">
        <f t="shared" ref="S16:S17" si="3">ROUND(R16/Q16,4)</f>
        <v>2.4799999999999999E-2</v>
      </c>
      <c r="T16" s="221"/>
      <c r="U16" s="219">
        <f>$C$16</f>
        <v>300</v>
      </c>
      <c r="V16" s="164">
        <v>18</v>
      </c>
      <c r="W16" s="225">
        <f t="shared" ref="W16:W17" si="4">ROUND(V16/U16,4)</f>
        <v>0.06</v>
      </c>
      <c r="X16" s="218"/>
      <c r="Y16" s="219">
        <f>$C$16</f>
        <v>300</v>
      </c>
      <c r="Z16" s="164">
        <v>4.96</v>
      </c>
      <c r="AA16" s="225">
        <f t="shared" ref="AA16:AA17" si="5">ROUND(Z16/Y16,4)</f>
        <v>1.6500000000000001E-2</v>
      </c>
      <c r="AB16" s="218"/>
      <c r="AC16" s="219">
        <f>$C$16</f>
        <v>300</v>
      </c>
      <c r="AD16" s="164">
        <v>3.8</v>
      </c>
      <c r="AE16" s="225">
        <f t="shared" ref="AE16:AE17" si="6">ROUND(AD16/AC16,4)</f>
        <v>1.2699999999999999E-2</v>
      </c>
      <c r="AF16" s="218"/>
      <c r="AG16" s="219">
        <f>$C$16</f>
        <v>300</v>
      </c>
      <c r="AH16" s="164">
        <v>8.66</v>
      </c>
      <c r="AI16" s="225">
        <f t="shared" ref="AI16:AI17" si="7">ROUND(AH16/AG16,4)</f>
        <v>2.8899999999999999E-2</v>
      </c>
      <c r="AJ16" s="218"/>
      <c r="AK16" s="219">
        <f>$C$16</f>
        <v>300</v>
      </c>
      <c r="AL16" s="164">
        <v>12.88</v>
      </c>
      <c r="AM16" s="185">
        <f t="shared" ref="AM16:AM17" si="8">ROUND(AL16/AK16,4)</f>
        <v>4.2900000000000001E-2</v>
      </c>
    </row>
    <row r="17" spans="1:39" ht="18" customHeight="1">
      <c r="A17" s="730"/>
      <c r="B17" s="170" t="s">
        <v>145</v>
      </c>
      <c r="C17" s="34">
        <v>300</v>
      </c>
      <c r="D17" s="227"/>
      <c r="E17" s="228">
        <v>413.57</v>
      </c>
      <c r="F17" s="172">
        <v>303.98</v>
      </c>
      <c r="G17" s="225">
        <f t="shared" si="0"/>
        <v>0.73499999999999999</v>
      </c>
      <c r="H17" s="218"/>
      <c r="I17" s="219">
        <f>$C$17</f>
        <v>300</v>
      </c>
      <c r="J17" s="164">
        <v>9.56</v>
      </c>
      <c r="K17" s="225">
        <f t="shared" si="1"/>
        <v>3.1899999999999998E-2</v>
      </c>
      <c r="L17" s="220"/>
      <c r="M17" s="219">
        <f>$C$17</f>
        <v>300</v>
      </c>
      <c r="N17" s="164">
        <v>4.3899999999999997</v>
      </c>
      <c r="O17" s="225">
        <f t="shared" si="2"/>
        <v>1.46E-2</v>
      </c>
      <c r="P17" s="218"/>
      <c r="Q17" s="219">
        <f>$C$17</f>
        <v>300</v>
      </c>
      <c r="R17" s="164">
        <v>11.5</v>
      </c>
      <c r="S17" s="185">
        <f t="shared" si="3"/>
        <v>3.8300000000000001E-2</v>
      </c>
      <c r="T17" s="221"/>
      <c r="U17" s="219">
        <f>$C$17</f>
        <v>300</v>
      </c>
      <c r="V17" s="164">
        <v>10</v>
      </c>
      <c r="W17" s="225">
        <f t="shared" si="4"/>
        <v>3.3300000000000003E-2</v>
      </c>
      <c r="X17" s="218"/>
      <c r="Y17" s="219">
        <f>$C$17</f>
        <v>300</v>
      </c>
      <c r="Z17" s="164">
        <v>20.74</v>
      </c>
      <c r="AA17" s="225">
        <f t="shared" si="5"/>
        <v>6.9099999999999995E-2</v>
      </c>
      <c r="AB17" s="218"/>
      <c r="AC17" s="219">
        <f>$C$17</f>
        <v>300</v>
      </c>
      <c r="AD17" s="164">
        <v>4.32</v>
      </c>
      <c r="AE17" s="225">
        <f t="shared" si="6"/>
        <v>1.44E-2</v>
      </c>
      <c r="AF17" s="218"/>
      <c r="AG17" s="223">
        <v>146.12</v>
      </c>
      <c r="AH17" s="164">
        <v>145.83000000000001</v>
      </c>
      <c r="AI17" s="225">
        <f t="shared" si="7"/>
        <v>0.998</v>
      </c>
      <c r="AJ17" s="218"/>
      <c r="AK17" s="223">
        <v>22.53</v>
      </c>
      <c r="AL17" s="164">
        <v>22.54</v>
      </c>
      <c r="AM17" s="185">
        <f t="shared" si="8"/>
        <v>1.0004</v>
      </c>
    </row>
    <row r="18" spans="1:39" ht="18.649999999999999" customHeight="1">
      <c r="A18" s="730"/>
      <c r="B18" s="680" t="s">
        <v>48</v>
      </c>
      <c r="C18" s="678"/>
      <c r="D18" s="212"/>
      <c r="E18" s="153"/>
      <c r="F18" s="155"/>
      <c r="G18" s="155"/>
      <c r="H18" s="218"/>
      <c r="I18" s="155"/>
      <c r="J18" s="155"/>
      <c r="K18" s="155"/>
      <c r="L18" s="220"/>
      <c r="M18" s="155"/>
      <c r="N18" s="155"/>
      <c r="O18" s="155"/>
      <c r="P18" s="218"/>
      <c r="Q18" s="155"/>
      <c r="R18" s="155"/>
      <c r="S18" s="173"/>
      <c r="T18" s="221"/>
      <c r="U18" s="153"/>
      <c r="V18" s="155"/>
      <c r="W18" s="173"/>
      <c r="X18" s="221"/>
      <c r="Y18" s="153"/>
      <c r="Z18" s="155"/>
      <c r="AA18" s="173"/>
      <c r="AB18" s="221"/>
      <c r="AC18" s="153"/>
      <c r="AD18" s="155"/>
      <c r="AE18" s="173"/>
      <c r="AF18" s="221"/>
      <c r="AG18" s="153"/>
      <c r="AH18" s="155"/>
      <c r="AI18" s="173"/>
      <c r="AJ18" s="221"/>
      <c r="AK18" s="155"/>
      <c r="AL18" s="155"/>
      <c r="AM18" s="173"/>
    </row>
    <row r="19" spans="1:39" s="69" customFormat="1" ht="34" customHeight="1">
      <c r="A19" s="730"/>
      <c r="B19" s="229" t="s">
        <v>49</v>
      </c>
      <c r="C19" s="230">
        <v>2700</v>
      </c>
      <c r="D19" s="215"/>
      <c r="E19" s="230">
        <f>$C$19</f>
        <v>2700</v>
      </c>
      <c r="F19" s="176">
        <v>96.69</v>
      </c>
      <c r="G19" s="225">
        <f>ROUND(F19/E19,4)</f>
        <v>3.5799999999999998E-2</v>
      </c>
      <c r="H19" s="218"/>
      <c r="I19" s="230">
        <f>$C$19</f>
        <v>2700</v>
      </c>
      <c r="J19" s="164">
        <v>72</v>
      </c>
      <c r="K19" s="225">
        <f>ROUND(J19/I19,4)</f>
        <v>2.6700000000000002E-2</v>
      </c>
      <c r="L19" s="220"/>
      <c r="M19" s="230">
        <f>$C$19</f>
        <v>2700</v>
      </c>
      <c r="N19" s="160"/>
      <c r="O19" s="225">
        <f>ROUND(N19/M19,4)</f>
        <v>0</v>
      </c>
      <c r="P19" s="218"/>
      <c r="Q19" s="230">
        <f>$C$19</f>
        <v>2700</v>
      </c>
      <c r="R19" s="164">
        <v>76.12</v>
      </c>
      <c r="S19" s="185">
        <f>ROUND(R19/Q19,4)</f>
        <v>2.8199999999999999E-2</v>
      </c>
      <c r="T19" s="221"/>
      <c r="U19" s="230">
        <f>$C$19</f>
        <v>2700</v>
      </c>
      <c r="V19" s="164">
        <v>100</v>
      </c>
      <c r="W19" s="225">
        <f>ROUND(V19/U19,4)</f>
        <v>3.6999999999999998E-2</v>
      </c>
      <c r="X19" s="218"/>
      <c r="Y19" s="230">
        <f>$C$19</f>
        <v>2700</v>
      </c>
      <c r="Z19" s="164">
        <v>404.03</v>
      </c>
      <c r="AA19" s="225">
        <f>ROUND(Z19/Y19,4)</f>
        <v>0.14960000000000001</v>
      </c>
      <c r="AB19" s="218"/>
      <c r="AC19" s="230">
        <f>$C$19</f>
        <v>2700</v>
      </c>
      <c r="AD19" s="164">
        <v>28.1</v>
      </c>
      <c r="AE19" s="225">
        <f>ROUND(AD19/AC19,4)</f>
        <v>1.04E-2</v>
      </c>
      <c r="AF19" s="218"/>
      <c r="AG19" s="230">
        <f>$C$19</f>
        <v>2700</v>
      </c>
      <c r="AH19" s="164">
        <v>263.72000000000003</v>
      </c>
      <c r="AI19" s="225">
        <f>ROUND(AH19/AG19,4)</f>
        <v>9.7699999999999995E-2</v>
      </c>
      <c r="AJ19" s="218"/>
      <c r="AK19" s="230">
        <f>$C$19</f>
        <v>2700</v>
      </c>
      <c r="AL19" s="164">
        <v>184.38</v>
      </c>
      <c r="AM19" s="185">
        <f>ROUND(AL19/AK19,4)</f>
        <v>6.83E-2</v>
      </c>
    </row>
    <row r="20" spans="1:39" ht="18.649999999999999" customHeight="1">
      <c r="A20" s="730"/>
      <c r="B20" s="169" t="s">
        <v>50</v>
      </c>
      <c r="C20" s="231">
        <v>9000</v>
      </c>
      <c r="D20" s="232"/>
      <c r="E20" s="216">
        <f>$C$20</f>
        <v>9000</v>
      </c>
      <c r="F20" s="158">
        <v>513.70000000000005</v>
      </c>
      <c r="G20" s="225">
        <f>ROUND(F20/E20,4)</f>
        <v>5.7099999999999998E-2</v>
      </c>
      <c r="H20" s="218"/>
      <c r="I20" s="219">
        <f>$C$20</f>
        <v>9000</v>
      </c>
      <c r="J20" s="168"/>
      <c r="K20" s="225">
        <f>ROUND(J20/I20,4)</f>
        <v>0</v>
      </c>
      <c r="L20" s="220"/>
      <c r="M20" s="219">
        <f>$C$20</f>
        <v>9000</v>
      </c>
      <c r="N20" s="168">
        <v>48</v>
      </c>
      <c r="O20" s="225">
        <f>ROUND(N20/M20,4)</f>
        <v>5.3E-3</v>
      </c>
      <c r="P20" s="218"/>
      <c r="Q20" s="219">
        <f>$C$20</f>
        <v>9000</v>
      </c>
      <c r="R20" s="168"/>
      <c r="S20" s="185">
        <f>ROUND(R20/Q20,4)</f>
        <v>0</v>
      </c>
      <c r="T20" s="221"/>
      <c r="U20" s="219">
        <f>$C$20</f>
        <v>9000</v>
      </c>
      <c r="V20" s="164">
        <v>25</v>
      </c>
      <c r="W20" s="225">
        <f>ROUND(V20/U20,4)</f>
        <v>2.8E-3</v>
      </c>
      <c r="X20" s="218"/>
      <c r="Y20" s="219">
        <f>$C$20</f>
        <v>9000</v>
      </c>
      <c r="Z20" s="164">
        <v>271.63</v>
      </c>
      <c r="AA20" s="225">
        <f>ROUND(Z20/Y20,4)</f>
        <v>3.0200000000000001E-2</v>
      </c>
      <c r="AB20" s="218"/>
      <c r="AC20" s="219">
        <f>$C$20</f>
        <v>9000</v>
      </c>
      <c r="AD20" s="164">
        <v>29.25</v>
      </c>
      <c r="AE20" s="225">
        <f>ROUND(AD20/AC20,4)</f>
        <v>3.3E-3</v>
      </c>
      <c r="AF20" s="218"/>
      <c r="AG20" s="219">
        <f>$C$20</f>
        <v>9000</v>
      </c>
      <c r="AH20" s="164">
        <v>574.36</v>
      </c>
      <c r="AI20" s="225">
        <f>ROUND(AH20/AG20,4)</f>
        <v>6.3799999999999996E-2</v>
      </c>
      <c r="AJ20" s="218"/>
      <c r="AK20" s="224">
        <v>11650</v>
      </c>
      <c r="AL20" s="164">
        <v>1165</v>
      </c>
      <c r="AM20" s="185">
        <f>ROUND(AL20/AK20,4)</f>
        <v>0.1</v>
      </c>
    </row>
    <row r="21" spans="1:39" ht="28.5" customHeight="1">
      <c r="A21" s="730"/>
      <c r="B21" s="169" t="s">
        <v>146</v>
      </c>
      <c r="C21" s="231">
        <v>2700</v>
      </c>
      <c r="D21" s="232"/>
      <c r="E21" s="216">
        <f>$C$21</f>
        <v>2700</v>
      </c>
      <c r="F21" s="167"/>
      <c r="G21" s="225">
        <f t="shared" ref="G21:G22" si="9">ROUND(F21/E21,4)</f>
        <v>0</v>
      </c>
      <c r="H21" s="218"/>
      <c r="I21" s="219">
        <f>$C$21</f>
        <v>2700</v>
      </c>
      <c r="J21" s="168"/>
      <c r="K21" s="225">
        <f t="shared" ref="K21:K22" si="10">ROUND(J21/I21,4)</f>
        <v>0</v>
      </c>
      <c r="L21" s="220"/>
      <c r="M21" s="219">
        <f>$C$21</f>
        <v>2700</v>
      </c>
      <c r="N21" s="168"/>
      <c r="O21" s="225">
        <f t="shared" ref="O21:O22" si="11">ROUND(N21/M21,4)</f>
        <v>0</v>
      </c>
      <c r="P21" s="218"/>
      <c r="Q21" s="219">
        <f>$C$21</f>
        <v>2700</v>
      </c>
      <c r="R21" s="168"/>
      <c r="S21" s="185">
        <f t="shared" ref="S21:S22" si="12">ROUND(R21/Q21,4)</f>
        <v>0</v>
      </c>
      <c r="T21" s="221"/>
      <c r="U21" s="219">
        <f>$C$21</f>
        <v>2700</v>
      </c>
      <c r="V21" s="168"/>
      <c r="W21" s="225">
        <f t="shared" ref="W21:W22" si="13">ROUND(V21/U21,4)</f>
        <v>0</v>
      </c>
      <c r="X21" s="218"/>
      <c r="Y21" s="219">
        <f>$C$21</f>
        <v>2700</v>
      </c>
      <c r="Z21" s="164">
        <v>215.69</v>
      </c>
      <c r="AA21" s="225">
        <f t="shared" ref="AA21:AA22" si="14">ROUND(Z21/Y21,4)</f>
        <v>7.9899999999999999E-2</v>
      </c>
      <c r="AB21" s="218"/>
      <c r="AC21" s="219">
        <f>$C$21</f>
        <v>2700</v>
      </c>
      <c r="AD21" s="168"/>
      <c r="AE21" s="225">
        <f t="shared" ref="AE21:AE22" si="15">ROUND(AD21/AC21,4)</f>
        <v>0</v>
      </c>
      <c r="AF21" s="218"/>
      <c r="AG21" s="219">
        <f>$C$21</f>
        <v>2700</v>
      </c>
      <c r="AH21" s="164">
        <v>434.72</v>
      </c>
      <c r="AI21" s="225">
        <f t="shared" ref="AI21:AI22" si="16">ROUND(AH21/AG21,4)</f>
        <v>0.161</v>
      </c>
      <c r="AJ21" s="218"/>
      <c r="AK21" s="223">
        <v>9734.56</v>
      </c>
      <c r="AL21" s="164">
        <v>1797</v>
      </c>
      <c r="AM21" s="185">
        <f t="shared" ref="AM21:AM22" si="17">ROUND(AL21/AK21,4)</f>
        <v>0.18459999999999999</v>
      </c>
    </row>
    <row r="22" spans="1:39" ht="28.5" customHeight="1">
      <c r="A22" s="730"/>
      <c r="B22" s="169" t="s">
        <v>134</v>
      </c>
      <c r="C22" s="231">
        <v>2700</v>
      </c>
      <c r="D22" s="232"/>
      <c r="E22" s="216">
        <f>$C$22</f>
        <v>2700</v>
      </c>
      <c r="F22" s="172">
        <v>1027.21</v>
      </c>
      <c r="G22" s="225">
        <f t="shared" si="9"/>
        <v>0.38040000000000002</v>
      </c>
      <c r="H22" s="218"/>
      <c r="I22" s="219">
        <f>$C$22</f>
        <v>2700</v>
      </c>
      <c r="J22" s="167"/>
      <c r="K22" s="225">
        <f t="shared" si="10"/>
        <v>0</v>
      </c>
      <c r="L22" s="220"/>
      <c r="M22" s="219">
        <f>$C$22</f>
        <v>2700</v>
      </c>
      <c r="N22" s="167"/>
      <c r="O22" s="225">
        <f t="shared" si="11"/>
        <v>0</v>
      </c>
      <c r="P22" s="218"/>
      <c r="Q22" s="219">
        <f>$C$22</f>
        <v>2700</v>
      </c>
      <c r="R22" s="167"/>
      <c r="S22" s="185">
        <f t="shared" si="12"/>
        <v>0</v>
      </c>
      <c r="T22" s="221"/>
      <c r="U22" s="219">
        <f>$C$22</f>
        <v>2700</v>
      </c>
      <c r="V22" s="167"/>
      <c r="W22" s="225">
        <f t="shared" si="13"/>
        <v>0</v>
      </c>
      <c r="X22" s="218"/>
      <c r="Y22" s="219">
        <f>$C$22</f>
        <v>2700</v>
      </c>
      <c r="Z22" s="167"/>
      <c r="AA22" s="225">
        <f t="shared" si="14"/>
        <v>0</v>
      </c>
      <c r="AB22" s="218"/>
      <c r="AC22" s="219">
        <f>$C$22</f>
        <v>2700</v>
      </c>
      <c r="AD22" s="167"/>
      <c r="AE22" s="225">
        <f t="shared" si="15"/>
        <v>0</v>
      </c>
      <c r="AF22" s="218"/>
      <c r="AG22" s="219">
        <f>$C$22</f>
        <v>2700</v>
      </c>
      <c r="AH22" s="167"/>
      <c r="AI22" s="225">
        <f t="shared" si="16"/>
        <v>0</v>
      </c>
      <c r="AJ22" s="218"/>
      <c r="AK22" s="219">
        <f>$C$22</f>
        <v>2700</v>
      </c>
      <c r="AL22" s="167"/>
      <c r="AM22" s="185">
        <f t="shared" si="17"/>
        <v>0</v>
      </c>
    </row>
    <row r="23" spans="1:39" ht="29.25" customHeight="1">
      <c r="A23" s="730"/>
      <c r="B23" s="719" t="s">
        <v>338</v>
      </c>
      <c r="C23" s="720"/>
      <c r="D23" s="212"/>
      <c r="E23" s="153"/>
      <c r="F23" s="155"/>
      <c r="G23" s="155"/>
      <c r="H23" s="218"/>
      <c r="I23" s="155"/>
      <c r="J23" s="155"/>
      <c r="K23" s="155"/>
      <c r="L23" s="220"/>
      <c r="M23" s="155"/>
      <c r="N23" s="155"/>
      <c r="O23" s="155"/>
      <c r="P23" s="218"/>
      <c r="Q23" s="155"/>
      <c r="R23" s="155"/>
      <c r="S23" s="173"/>
      <c r="T23" s="221"/>
      <c r="U23" s="153"/>
      <c r="V23" s="155"/>
      <c r="W23" s="173"/>
      <c r="X23" s="221"/>
      <c r="Y23" s="153"/>
      <c r="Z23" s="155"/>
      <c r="AA23" s="173"/>
      <c r="AB23" s="221"/>
      <c r="AC23" s="153"/>
      <c r="AD23" s="155"/>
      <c r="AE23" s="173"/>
      <c r="AF23" s="221"/>
      <c r="AG23" s="155"/>
      <c r="AH23" s="155"/>
      <c r="AI23" s="233"/>
      <c r="AJ23" s="218"/>
      <c r="AK23" s="155"/>
      <c r="AL23" s="155"/>
      <c r="AM23" s="173"/>
    </row>
    <row r="24" spans="1:39" ht="30" customHeight="1">
      <c r="A24" s="730"/>
      <c r="B24" s="180" t="s">
        <v>340</v>
      </c>
      <c r="C24" s="231">
        <v>380</v>
      </c>
      <c r="D24" s="232"/>
      <c r="E24" s="216">
        <f>$C$24</f>
        <v>380</v>
      </c>
      <c r="F24" s="182">
        <v>561.96</v>
      </c>
      <c r="G24" s="225">
        <f>ROUND((16/(188.76*E24))*F24,5)</f>
        <v>0.12540000000000001</v>
      </c>
      <c r="H24" s="218"/>
      <c r="I24" s="219">
        <f>$C$24</f>
        <v>380</v>
      </c>
      <c r="J24" s="164">
        <v>32.92</v>
      </c>
      <c r="K24" s="225">
        <f>ROUND((16/(188.76*I24))*J24,5)</f>
        <v>7.3000000000000001E-3</v>
      </c>
      <c r="L24" s="220"/>
      <c r="M24" s="219">
        <f>$C$24</f>
        <v>380</v>
      </c>
      <c r="N24" s="164">
        <v>47</v>
      </c>
      <c r="O24" s="225">
        <f>ROUND((16/(188.76*M24))*N24,5)</f>
        <v>1.0500000000000001E-2</v>
      </c>
      <c r="P24" s="218"/>
      <c r="Q24" s="219">
        <f>$C$24</f>
        <v>380</v>
      </c>
      <c r="R24" s="164">
        <v>63</v>
      </c>
      <c r="S24" s="185">
        <f>ROUND((16/(188.76*Q24))*R24,5)</f>
        <v>1.41E-2</v>
      </c>
      <c r="T24" s="221"/>
      <c r="U24" s="219">
        <f>$C$24</f>
        <v>380</v>
      </c>
      <c r="V24" s="168"/>
      <c r="W24" s="225">
        <f>ROUND((16/(188.76*U24))*V24,5)</f>
        <v>0</v>
      </c>
      <c r="X24" s="218"/>
      <c r="Y24" s="219">
        <f>$C$24</f>
        <v>380</v>
      </c>
      <c r="Z24" s="164">
        <v>23.04</v>
      </c>
      <c r="AA24" s="225">
        <f>ROUND((16/(188.76*Y24))*Z24,5)</f>
        <v>5.1000000000000004E-3</v>
      </c>
      <c r="AB24" s="218"/>
      <c r="AC24" s="219">
        <f>$C$24</f>
        <v>380</v>
      </c>
      <c r="AD24" s="164">
        <v>10.64</v>
      </c>
      <c r="AE24" s="225">
        <f>ROUND((16/(188.76*AC24))*AD24,5)</f>
        <v>2.3999999999999998E-3</v>
      </c>
      <c r="AF24" s="218"/>
      <c r="AG24" s="219">
        <f>$C$24</f>
        <v>380</v>
      </c>
      <c r="AH24" s="164">
        <v>178.68</v>
      </c>
      <c r="AI24" s="225">
        <f>ROUND((16/(188.76*AG24))*AH24,5)</f>
        <v>3.9899999999999998E-2</v>
      </c>
      <c r="AJ24" s="218"/>
      <c r="AK24" s="219">
        <f>$C$24</f>
        <v>380</v>
      </c>
      <c r="AL24" s="164">
        <v>135.12</v>
      </c>
      <c r="AM24" s="185">
        <f>ROUND((16/(188.76*AK24))*AL24,5)</f>
        <v>3.0099999999999998E-2</v>
      </c>
    </row>
    <row r="25" spans="1:39" ht="30.5" customHeight="1">
      <c r="A25" s="730"/>
      <c r="B25" s="169" t="s">
        <v>339</v>
      </c>
      <c r="C25" s="231">
        <v>380</v>
      </c>
      <c r="D25" s="232"/>
      <c r="E25" s="234">
        <f>$C$25</f>
        <v>380</v>
      </c>
      <c r="F25" s="182">
        <v>561.96</v>
      </c>
      <c r="G25" s="217">
        <f>ROUND((16/(188.76*E25))*F25,5)</f>
        <v>0.12540000000000001</v>
      </c>
      <c r="H25" s="218"/>
      <c r="I25" s="235">
        <f>$C$25</f>
        <v>380</v>
      </c>
      <c r="J25" s="164">
        <v>32.92</v>
      </c>
      <c r="K25" s="217">
        <f>ROUND((16/(188.76*I25))*J25,5)</f>
        <v>7.3000000000000001E-3</v>
      </c>
      <c r="L25" s="220"/>
      <c r="M25" s="235">
        <f>$C$25</f>
        <v>380</v>
      </c>
      <c r="N25" s="164">
        <v>142</v>
      </c>
      <c r="O25" s="217">
        <f>ROUND((16/(188.76*M25))*N25,5)</f>
        <v>3.1699999999999999E-2</v>
      </c>
      <c r="P25" s="218"/>
      <c r="Q25" s="235">
        <f>$C$25</f>
        <v>380</v>
      </c>
      <c r="R25" s="164">
        <v>63</v>
      </c>
      <c r="S25" s="161">
        <f>ROUND((16/(188.76*Q25))*R25,5)</f>
        <v>1.41E-2</v>
      </c>
      <c r="T25" s="221"/>
      <c r="U25" s="235">
        <f>$C$25</f>
        <v>380</v>
      </c>
      <c r="V25" s="164">
        <v>55</v>
      </c>
      <c r="W25" s="217">
        <f>ROUND((16/(188.76*U25))*V25,5)</f>
        <v>1.23E-2</v>
      </c>
      <c r="X25" s="218"/>
      <c r="Y25" s="235">
        <f>$C$25</f>
        <v>380</v>
      </c>
      <c r="Z25" s="164">
        <v>41.43</v>
      </c>
      <c r="AA25" s="217">
        <f>ROUND((16/(188.76*Y25))*Z25,5)</f>
        <v>9.1999999999999998E-3</v>
      </c>
      <c r="AB25" s="218"/>
      <c r="AC25" s="235">
        <f>$C$25</f>
        <v>380</v>
      </c>
      <c r="AD25" s="164">
        <v>99.99</v>
      </c>
      <c r="AE25" s="217">
        <f>ROUND((16/(188.76*AC25))*AD25,5)</f>
        <v>2.23E-2</v>
      </c>
      <c r="AF25" s="218"/>
      <c r="AG25" s="235">
        <f>$C$25</f>
        <v>380</v>
      </c>
      <c r="AH25" s="164">
        <v>533.41999999999996</v>
      </c>
      <c r="AI25" s="217">
        <f>ROUND((16/(188.76*AG25))*AH25,5)</f>
        <v>0.11899999999999999</v>
      </c>
      <c r="AJ25" s="218"/>
      <c r="AK25" s="235">
        <f>$C$25</f>
        <v>380</v>
      </c>
      <c r="AL25" s="164">
        <v>135.12</v>
      </c>
      <c r="AM25" s="161">
        <f>ROUND((16/(188.76*AK25))*AL25,5)</f>
        <v>3.0099999999999998E-2</v>
      </c>
    </row>
    <row r="26" spans="1:39" ht="21" customHeight="1">
      <c r="A26" s="730"/>
      <c r="B26" s="666" t="s">
        <v>59</v>
      </c>
      <c r="C26" s="667"/>
      <c r="D26" s="188"/>
      <c r="E26" s="698"/>
      <c r="F26" s="698"/>
      <c r="G26" s="236">
        <f>SUM(G24:G25,G19:G22,G11:G17)</f>
        <v>7.0552999999999999</v>
      </c>
      <c r="H26" s="218"/>
      <c r="I26" s="697"/>
      <c r="J26" s="698"/>
      <c r="K26" s="236">
        <f>SUM(K24:K25,K19:K22,K11:K17)</f>
        <v>1</v>
      </c>
      <c r="L26" s="220"/>
      <c r="M26" s="697"/>
      <c r="N26" s="698"/>
      <c r="O26" s="236">
        <f>SUM(O24:O25,O19:O22,O11:O17)</f>
        <v>1</v>
      </c>
      <c r="P26" s="218"/>
      <c r="Q26" s="697"/>
      <c r="R26" s="698"/>
      <c r="S26" s="237">
        <f>SUM(S24:S25,S19:S22,S11:S17)</f>
        <v>1</v>
      </c>
      <c r="T26" s="221"/>
      <c r="U26" s="697"/>
      <c r="V26" s="698"/>
      <c r="W26" s="236">
        <f>SUM(W24:W25,W19:W22,W11:W17)</f>
        <v>1</v>
      </c>
      <c r="X26" s="218"/>
      <c r="Y26" s="697"/>
      <c r="Z26" s="698"/>
      <c r="AA26" s="236">
        <f>SUM(AA24:AA25,AA19:AA22,AA11:AA17)</f>
        <v>1.0004</v>
      </c>
      <c r="AB26" s="218"/>
      <c r="AC26" s="697"/>
      <c r="AD26" s="698"/>
      <c r="AE26" s="236">
        <f>SUM(AE24:AE25,AE19:AE22,AE11:AE17)</f>
        <v>1.0004999999999999</v>
      </c>
      <c r="AF26" s="218"/>
      <c r="AG26" s="697"/>
      <c r="AH26" s="698"/>
      <c r="AI26" s="236">
        <f>SUM(AI24:AI25,AI19:AI22,AI11:AI17)</f>
        <v>3.0005000000000002</v>
      </c>
      <c r="AJ26" s="218"/>
      <c r="AK26" s="697"/>
      <c r="AL26" s="698"/>
      <c r="AM26" s="237">
        <f>SUM(AM24:AM25,AM19:AM22,AM11:AM17)</f>
        <v>2.0004</v>
      </c>
    </row>
    <row r="27" spans="1:39" ht="21.65" customHeight="1" thickBot="1">
      <c r="A27" s="731"/>
      <c r="B27" s="668" t="s">
        <v>58</v>
      </c>
      <c r="C27" s="699"/>
      <c r="D27" s="232"/>
      <c r="E27" s="700" t="s">
        <v>154</v>
      </c>
      <c r="F27" s="701"/>
      <c r="G27" s="238">
        <f>INT(G26)</f>
        <v>7</v>
      </c>
      <c r="H27" s="239"/>
      <c r="I27" s="702" t="s">
        <v>155</v>
      </c>
      <c r="J27" s="701"/>
      <c r="K27" s="238">
        <f>INT(K26)</f>
        <v>1</v>
      </c>
      <c r="L27" s="240"/>
      <c r="M27" s="702" t="s">
        <v>156</v>
      </c>
      <c r="N27" s="701"/>
      <c r="O27" s="238">
        <f>INT(O26)</f>
        <v>1</v>
      </c>
      <c r="P27" s="239"/>
      <c r="Q27" s="702" t="s">
        <v>157</v>
      </c>
      <c r="R27" s="701"/>
      <c r="S27" s="241">
        <f>INT(S26)</f>
        <v>1</v>
      </c>
      <c r="T27" s="242"/>
      <c r="U27" s="702" t="s">
        <v>162</v>
      </c>
      <c r="V27" s="701"/>
      <c r="W27" s="238">
        <f>INT(W26)</f>
        <v>1</v>
      </c>
      <c r="X27" s="239"/>
      <c r="Y27" s="702" t="s">
        <v>158</v>
      </c>
      <c r="Z27" s="701"/>
      <c r="AA27" s="238">
        <f>INT(AA26)</f>
        <v>1</v>
      </c>
      <c r="AB27" s="239"/>
      <c r="AC27" s="702" t="s">
        <v>159</v>
      </c>
      <c r="AD27" s="701"/>
      <c r="AE27" s="238">
        <f>INT(AE26)</f>
        <v>1</v>
      </c>
      <c r="AF27" s="239"/>
      <c r="AG27" s="702" t="s">
        <v>160</v>
      </c>
      <c r="AH27" s="701"/>
      <c r="AI27" s="238">
        <f>INT(AI26)</f>
        <v>3</v>
      </c>
      <c r="AJ27" s="239"/>
      <c r="AK27" s="702" t="s">
        <v>161</v>
      </c>
      <c r="AL27" s="701"/>
      <c r="AM27" s="241">
        <f>INT(AM26)</f>
        <v>2</v>
      </c>
    </row>
  </sheetData>
  <mergeCells count="40">
    <mergeCell ref="A1:AM1"/>
    <mergeCell ref="A6:AM6"/>
    <mergeCell ref="A2:AM2"/>
    <mergeCell ref="AK8:AM8"/>
    <mergeCell ref="AK26:AL26"/>
    <mergeCell ref="B10:C10"/>
    <mergeCell ref="B23:C23"/>
    <mergeCell ref="A4:I4"/>
    <mergeCell ref="C8:C9"/>
    <mergeCell ref="I8:K8"/>
    <mergeCell ref="B8:B9"/>
    <mergeCell ref="Q8:S8"/>
    <mergeCell ref="E8:G8"/>
    <mergeCell ref="A8:A27"/>
    <mergeCell ref="B18:C18"/>
    <mergeCell ref="Y26:Z26"/>
    <mergeCell ref="Y27:Z27"/>
    <mergeCell ref="AK27:AL27"/>
    <mergeCell ref="AC8:AE8"/>
    <mergeCell ref="AC26:AD26"/>
    <mergeCell ref="AC27:AD27"/>
    <mergeCell ref="AG8:AI8"/>
    <mergeCell ref="AG26:AH26"/>
    <mergeCell ref="AG27:AH27"/>
    <mergeCell ref="J4:AM4"/>
    <mergeCell ref="Q26:R26"/>
    <mergeCell ref="B27:C27"/>
    <mergeCell ref="E27:F27"/>
    <mergeCell ref="I27:J27"/>
    <mergeCell ref="M27:N27"/>
    <mergeCell ref="Q27:R27"/>
    <mergeCell ref="M8:O8"/>
    <mergeCell ref="M26:N26"/>
    <mergeCell ref="B26:C26"/>
    <mergeCell ref="E26:F26"/>
    <mergeCell ref="I26:J26"/>
    <mergeCell ref="U8:W8"/>
    <mergeCell ref="U26:V26"/>
    <mergeCell ref="U27:V27"/>
    <mergeCell ref="Y8:AA8"/>
  </mergeCells>
  <pageMargins left="0.31496062992125984" right="0" top="0.78740157480314965" bottom="0.78740157480314965" header="0.31496062992125984" footer="0.31496062992125984"/>
  <pageSetup paperSize="9" scale="28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KX144"/>
  <sheetViews>
    <sheetView showGridLines="0" topLeftCell="A11" zoomScale="55" zoomScaleNormal="55" workbookViewId="0">
      <selection activeCell="A26" sqref="A26"/>
    </sheetView>
  </sheetViews>
  <sheetFormatPr defaultRowHeight="14.5"/>
  <cols>
    <col min="1" max="1" width="7.54296875" style="66" customWidth="1"/>
    <col min="2" max="2" width="14.54296875" style="66" customWidth="1"/>
    <col min="3" max="3" width="14.26953125" style="66" customWidth="1"/>
    <col min="4" max="4" width="14.54296875" style="66" customWidth="1"/>
    <col min="5" max="5" width="18.26953125" style="66" customWidth="1"/>
    <col min="6" max="6" width="16.36328125" style="66" customWidth="1"/>
    <col min="7" max="7" width="17.6328125" style="66" customWidth="1"/>
    <col min="8" max="8" width="19.453125" style="66" customWidth="1"/>
    <col min="9" max="9" width="19.08984375" style="66" customWidth="1"/>
    <col min="10" max="10" width="19.6328125" style="66" customWidth="1"/>
    <col min="11" max="11" width="17.54296875" style="66" customWidth="1"/>
    <col min="12" max="12" width="18.7265625" style="66" customWidth="1"/>
    <col min="13" max="13" width="23.36328125" style="66" customWidth="1"/>
    <col min="14" max="14" width="18.6328125" style="66" customWidth="1"/>
    <col min="15" max="15" width="25.54296875" style="66" bestFit="1" customWidth="1"/>
    <col min="16" max="16" width="17.90625" style="66" customWidth="1"/>
    <col min="17" max="16384" width="8.7265625" style="66"/>
  </cols>
  <sheetData>
    <row r="1" spans="1:16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</row>
    <row r="2" spans="1:16" s="64" customFormat="1" ht="32.15" customHeight="1">
      <c r="A2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</row>
    <row r="3" spans="1:16" s="64" customFormat="1" ht="6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s="64" customFormat="1" ht="18" customHeight="1">
      <c r="A4" s="600" t="s">
        <v>1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21" t="str">
        <f>CCT!J4</f>
        <v>10707.720194-2025-26</v>
      </c>
      <c r="O4" s="621"/>
      <c r="P4" s="621"/>
    </row>
    <row r="5" spans="1:16" s="64" customFormat="1" ht="9" customHeight="1">
      <c r="A5" s="817"/>
      <c r="B5" s="817"/>
      <c r="C5" s="817"/>
      <c r="D5" s="817"/>
      <c r="E5" s="817"/>
      <c r="F5" s="817"/>
      <c r="G5" s="817"/>
      <c r="H5" s="817"/>
      <c r="I5" s="817"/>
      <c r="J5" s="817"/>
    </row>
    <row r="6" spans="1:16" s="64" customFormat="1" ht="18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</row>
    <row r="7" spans="1:16" ht="11.15" customHeight="1">
      <c r="A7" s="818"/>
      <c r="B7" s="819"/>
      <c r="C7" s="819"/>
      <c r="D7" s="819"/>
      <c r="E7" s="819"/>
      <c r="F7" s="819"/>
      <c r="G7" s="819"/>
      <c r="H7" s="819"/>
      <c r="I7" s="819"/>
      <c r="J7" s="819"/>
      <c r="K7" s="132"/>
      <c r="L7" s="132"/>
    </row>
    <row r="8" spans="1:16" ht="21.65" customHeight="1">
      <c r="A8" s="810" t="s">
        <v>212</v>
      </c>
      <c r="B8" s="810"/>
      <c r="C8" s="810"/>
      <c r="D8" s="810"/>
      <c r="E8" s="810"/>
      <c r="F8" s="810"/>
      <c r="G8" s="810"/>
      <c r="H8" s="810"/>
      <c r="I8" s="810"/>
      <c r="J8" s="810"/>
      <c r="K8" s="810"/>
      <c r="L8" s="810"/>
      <c r="M8" s="810"/>
      <c r="N8" s="810"/>
      <c r="O8" s="810"/>
      <c r="P8" s="810"/>
    </row>
    <row r="9" spans="1:16" ht="26.5" customHeight="1">
      <c r="A9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9" s="481"/>
      <c r="C9" s="481"/>
      <c r="D9" s="481"/>
      <c r="E9" s="481"/>
      <c r="F9" s="481"/>
      <c r="G9" s="481"/>
      <c r="H9" s="481"/>
      <c r="I9" s="481"/>
      <c r="J9" s="481"/>
      <c r="K9" s="481"/>
      <c r="L9" s="481"/>
      <c r="M9" s="481"/>
      <c r="N9" s="481"/>
      <c r="O9" s="481"/>
      <c r="P9" s="481"/>
    </row>
    <row r="10" spans="1:16" ht="47.5" customHeight="1">
      <c r="A10" s="243" t="s">
        <v>3</v>
      </c>
      <c r="B10" s="812" t="s">
        <v>213</v>
      </c>
      <c r="C10" s="812"/>
      <c r="D10" s="812"/>
      <c r="E10" s="812"/>
      <c r="F10" s="812"/>
      <c r="G10" s="424" t="s">
        <v>530</v>
      </c>
      <c r="H10" s="424" t="s">
        <v>531</v>
      </c>
      <c r="I10" s="244" t="s">
        <v>524</v>
      </c>
      <c r="J10" s="244" t="s">
        <v>525</v>
      </c>
      <c r="K10" s="245" t="s">
        <v>526</v>
      </c>
      <c r="L10" s="245" t="s">
        <v>527</v>
      </c>
      <c r="M10" s="245" t="s">
        <v>528</v>
      </c>
      <c r="N10" s="245" t="s">
        <v>529</v>
      </c>
      <c r="O10" s="425" t="s">
        <v>532</v>
      </c>
      <c r="P10" s="424" t="s">
        <v>533</v>
      </c>
    </row>
    <row r="11" spans="1:16" ht="18.649999999999999" customHeight="1">
      <c r="A11" s="246" t="s">
        <v>4</v>
      </c>
      <c r="B11" s="812" t="s">
        <v>214</v>
      </c>
      <c r="C11" s="812"/>
      <c r="D11" s="812"/>
      <c r="E11" s="812"/>
      <c r="F11" s="812"/>
      <c r="G11" s="247" t="str">
        <f>CCT!E10</f>
        <v>RJ001105-2025</v>
      </c>
      <c r="H11" s="247" t="str">
        <f>CCT!E10</f>
        <v>RJ001105-2025</v>
      </c>
      <c r="I11" s="247" t="str">
        <f>CCT!E11</f>
        <v>RJ001273-2025</v>
      </c>
      <c r="J11" s="247" t="str">
        <f>CCT!E12</f>
        <v>RJ001105-2025</v>
      </c>
      <c r="K11" s="247" t="str">
        <f>CCT!E13</f>
        <v>RJ001273-2025</v>
      </c>
      <c r="L11" s="43" t="str">
        <f>CCT!E14</f>
        <v>RJ001105-2025</v>
      </c>
      <c r="M11" s="43" t="str">
        <f>CCT!E15</f>
        <v>RJ001173-2025</v>
      </c>
      <c r="N11" s="43" t="str">
        <f>CCT!E16</f>
        <v>RJ001253-2025</v>
      </c>
      <c r="O11" s="43" t="str">
        <f>CCT!E17</f>
        <v>RJ001253-2025</v>
      </c>
      <c r="P11" s="43" t="str">
        <f>CCT!E18</f>
        <v>RJ001253-2025</v>
      </c>
    </row>
    <row r="12" spans="1:16" ht="18.649999999999999" customHeight="1">
      <c r="A12" s="34" t="s">
        <v>5</v>
      </c>
      <c r="B12" s="820" t="s">
        <v>215</v>
      </c>
      <c r="C12" s="820"/>
      <c r="D12" s="820"/>
      <c r="E12" s="820"/>
      <c r="F12" s="820"/>
      <c r="G12" s="248">
        <f>CCT!I10</f>
        <v>2025</v>
      </c>
      <c r="H12" s="248">
        <f>CCT!I10</f>
        <v>2025</v>
      </c>
      <c r="I12" s="248">
        <f>CCT!I11</f>
        <v>2025</v>
      </c>
      <c r="J12" s="248">
        <f>CCT!I12</f>
        <v>2025</v>
      </c>
      <c r="K12" s="248">
        <f>CCT!I13</f>
        <v>2025</v>
      </c>
      <c r="L12" s="98">
        <f>CCT!I14</f>
        <v>2025</v>
      </c>
      <c r="M12" s="43">
        <f>CCT!I15</f>
        <v>2025</v>
      </c>
      <c r="N12" s="43">
        <f>CCT!I16</f>
        <v>2025</v>
      </c>
      <c r="O12" s="43">
        <f>CCT!I17</f>
        <v>2025</v>
      </c>
      <c r="P12" s="43">
        <f>CCT!I18</f>
        <v>2025</v>
      </c>
    </row>
    <row r="13" spans="1:16" ht="31" customHeight="1">
      <c r="A13" s="34" t="s">
        <v>216</v>
      </c>
      <c r="B13" s="812" t="s">
        <v>217</v>
      </c>
      <c r="C13" s="812"/>
      <c r="D13" s="812"/>
      <c r="E13" s="812"/>
      <c r="F13" s="812"/>
      <c r="G13" s="249" t="str">
        <f>CCT!A10</f>
        <v>Servente COM Adicional</v>
      </c>
      <c r="H13" s="249" t="str">
        <f>CCT!A10</f>
        <v>Servente COM Adicional</v>
      </c>
      <c r="I13" s="249" t="str">
        <f>CCT!A10</f>
        <v>Servente COM Adicional</v>
      </c>
      <c r="J13" s="249" t="str">
        <f>CCT!A10</f>
        <v>Servente COM Adicional</v>
      </c>
      <c r="K13" s="249" t="str">
        <f>CCT!A10</f>
        <v>Servente COM Adicional</v>
      </c>
      <c r="L13" s="243" t="str">
        <f>CCT!A10</f>
        <v>Servente COM Adicional</v>
      </c>
      <c r="M13" s="243" t="str">
        <f>CCT!A10</f>
        <v>Servente COM Adicional</v>
      </c>
      <c r="N13" s="243" t="str">
        <f>CCT!A10</f>
        <v>Servente COM Adicional</v>
      </c>
      <c r="O13" s="243" t="str">
        <f>CCT!A10</f>
        <v>Servente COM Adicional</v>
      </c>
      <c r="P13" s="243" t="str">
        <f>CCT!A10</f>
        <v>Servente COM Adicional</v>
      </c>
    </row>
    <row r="14" spans="1:16" ht="18.649999999999999" customHeight="1">
      <c r="A14" s="34" t="s">
        <v>218</v>
      </c>
      <c r="B14" s="812" t="s">
        <v>219</v>
      </c>
      <c r="C14" s="812"/>
      <c r="D14" s="812"/>
      <c r="E14" s="812"/>
      <c r="F14" s="812"/>
      <c r="G14" s="34" t="s">
        <v>220</v>
      </c>
      <c r="H14" s="34" t="s">
        <v>220</v>
      </c>
      <c r="I14" s="34" t="s">
        <v>220</v>
      </c>
      <c r="J14" s="34" t="s">
        <v>220</v>
      </c>
      <c r="K14" s="34" t="s">
        <v>220</v>
      </c>
      <c r="L14" s="34" t="s">
        <v>220</v>
      </c>
      <c r="M14" s="34" t="s">
        <v>220</v>
      </c>
      <c r="N14" s="34" t="s">
        <v>220</v>
      </c>
      <c r="O14" s="34" t="s">
        <v>220</v>
      </c>
      <c r="P14" s="34" t="s">
        <v>220</v>
      </c>
    </row>
    <row r="15" spans="1:16" ht="18.649999999999999" customHeight="1">
      <c r="A15" s="34" t="s">
        <v>221</v>
      </c>
      <c r="B15" s="812" t="s">
        <v>222</v>
      </c>
      <c r="C15" s="812"/>
      <c r="D15" s="812"/>
      <c r="E15" s="812"/>
      <c r="F15" s="812"/>
      <c r="G15" s="250" t="str">
        <f>CCT!J10</f>
        <v>1° de março</v>
      </c>
      <c r="H15" s="250" t="str">
        <f>CCT!J10</f>
        <v>1° de março</v>
      </c>
      <c r="I15" s="250" t="str">
        <f>CCT!J11</f>
        <v>1° de março</v>
      </c>
      <c r="J15" s="250" t="str">
        <f>CCT!J12</f>
        <v>1° de março</v>
      </c>
      <c r="K15" s="250" t="str">
        <f>CCT!J13</f>
        <v>1° de março</v>
      </c>
      <c r="L15" s="251" t="str">
        <f>CCT!J14</f>
        <v>1° de março</v>
      </c>
      <c r="M15" s="43" t="str">
        <f>CCT!J15</f>
        <v>1° de março</v>
      </c>
      <c r="N15" s="43" t="str">
        <f>CCT!J16</f>
        <v>1° de março</v>
      </c>
      <c r="O15" s="43" t="str">
        <f>CCT!J17</f>
        <v>1° de março</v>
      </c>
      <c r="P15" s="43" t="str">
        <f>CCT!J18</f>
        <v>1° de março</v>
      </c>
    </row>
    <row r="16" spans="1:16" ht="18.649999999999999" customHeight="1">
      <c r="A16" s="34" t="s">
        <v>223</v>
      </c>
      <c r="B16" s="812" t="s">
        <v>224</v>
      </c>
      <c r="C16" s="812"/>
      <c r="D16" s="812"/>
      <c r="E16" s="812"/>
      <c r="F16" s="812"/>
      <c r="G16" s="252">
        <f>CCT!K10</f>
        <v>1730.75</v>
      </c>
      <c r="H16" s="252">
        <f>CCT!K10</f>
        <v>1730.75</v>
      </c>
      <c r="I16" s="252">
        <f>CCT!K11</f>
        <v>1730.75</v>
      </c>
      <c r="J16" s="252">
        <f>CCT!K12</f>
        <v>1730.75</v>
      </c>
      <c r="K16" s="252">
        <f>CCT!K13</f>
        <v>1730.75</v>
      </c>
      <c r="L16" s="253">
        <f>CCT!K14</f>
        <v>1730.75</v>
      </c>
      <c r="M16" s="44">
        <f>CCT!K15</f>
        <v>1730.75</v>
      </c>
      <c r="N16" s="44">
        <f>CCT!K16</f>
        <v>1730.75</v>
      </c>
      <c r="O16" s="44">
        <f>CCT!K17</f>
        <v>1730.75</v>
      </c>
      <c r="P16" s="44">
        <f>CCT!K18</f>
        <v>1730.75</v>
      </c>
    </row>
    <row r="17" spans="1:21" ht="18.649999999999999" customHeight="1">
      <c r="A17" s="34" t="s">
        <v>225</v>
      </c>
      <c r="B17" s="812" t="s">
        <v>227</v>
      </c>
      <c r="C17" s="812"/>
      <c r="D17" s="812"/>
      <c r="E17" s="812"/>
      <c r="F17" s="812"/>
      <c r="G17" s="247" t="s">
        <v>228</v>
      </c>
      <c r="H17" s="247" t="s">
        <v>228</v>
      </c>
      <c r="I17" s="247" t="s">
        <v>228</v>
      </c>
      <c r="J17" s="247" t="s">
        <v>228</v>
      </c>
      <c r="K17" s="247" t="s">
        <v>228</v>
      </c>
      <c r="L17" s="247" t="s">
        <v>228</v>
      </c>
      <c r="M17" s="247" t="s">
        <v>228</v>
      </c>
      <c r="N17" s="247" t="s">
        <v>228</v>
      </c>
      <c r="O17" s="247" t="s">
        <v>228</v>
      </c>
      <c r="P17" s="247" t="s">
        <v>228</v>
      </c>
    </row>
    <row r="18" spans="1:21" ht="7.5" customHeight="1">
      <c r="A18" s="823"/>
      <c r="B18" s="823"/>
      <c r="C18" s="823"/>
      <c r="D18" s="823"/>
      <c r="E18" s="823"/>
      <c r="F18" s="823"/>
      <c r="G18" s="823"/>
      <c r="H18" s="823"/>
      <c r="I18" s="823"/>
      <c r="J18" s="823"/>
      <c r="K18" s="823"/>
      <c r="L18" s="823"/>
      <c r="M18" s="823"/>
      <c r="N18" s="823"/>
      <c r="O18" s="823"/>
      <c r="P18" s="823"/>
    </row>
    <row r="19" spans="1:21" ht="18.649999999999999" customHeight="1">
      <c r="A19" s="822" t="s">
        <v>349</v>
      </c>
      <c r="B19" s="822"/>
      <c r="C19" s="822"/>
      <c r="D19" s="822"/>
      <c r="E19" s="821">
        <f>'Benefícios e Outros Dados'!I9</f>
        <v>60</v>
      </c>
      <c r="F19" s="821"/>
      <c r="G19" s="824"/>
      <c r="H19" s="824"/>
      <c r="I19" s="824"/>
      <c r="J19" s="824"/>
      <c r="K19" s="824"/>
      <c r="L19" s="824"/>
      <c r="M19" s="824"/>
      <c r="N19" s="824"/>
      <c r="O19" s="824"/>
      <c r="P19" s="824"/>
    </row>
    <row r="20" spans="1:21" s="69" customFormat="1" ht="7.5" customHeight="1">
      <c r="A20" s="813"/>
      <c r="B20" s="814"/>
      <c r="C20" s="814"/>
      <c r="D20" s="814"/>
      <c r="E20" s="814"/>
      <c r="F20" s="814"/>
      <c r="G20" s="815"/>
      <c r="H20" s="815"/>
      <c r="I20" s="815"/>
      <c r="J20" s="815"/>
      <c r="K20" s="815"/>
      <c r="L20" s="815"/>
      <c r="M20" s="815"/>
      <c r="N20" s="815"/>
      <c r="O20" s="815"/>
      <c r="P20" s="816"/>
    </row>
    <row r="21" spans="1:21" ht="6.75" customHeight="1">
      <c r="A21" s="811"/>
      <c r="B21" s="811"/>
      <c r="C21" s="811"/>
      <c r="D21" s="811"/>
      <c r="E21" s="811"/>
      <c r="F21" s="811"/>
      <c r="G21" s="811"/>
      <c r="H21" s="811"/>
      <c r="I21" s="811"/>
      <c r="J21" s="811"/>
      <c r="K21" s="811"/>
      <c r="L21" s="811"/>
      <c r="M21" s="811"/>
      <c r="N21" s="811"/>
      <c r="O21" s="811"/>
      <c r="P21" s="811"/>
    </row>
    <row r="22" spans="1:21" ht="21.65" customHeight="1">
      <c r="A22" s="810" t="s">
        <v>229</v>
      </c>
      <c r="B22" s="810"/>
      <c r="C22" s="810"/>
      <c r="D22" s="810"/>
      <c r="E22" s="810"/>
      <c r="F22" s="810"/>
      <c r="G22" s="810"/>
      <c r="H22" s="810"/>
      <c r="I22" s="810"/>
      <c r="J22" s="810"/>
      <c r="K22" s="810"/>
      <c r="L22" s="810"/>
      <c r="M22" s="810"/>
      <c r="N22" s="810"/>
      <c r="O22" s="810"/>
      <c r="P22" s="810"/>
    </row>
    <row r="23" spans="1:21" ht="45.5" customHeight="1">
      <c r="A23" s="733"/>
      <c r="B23" s="734"/>
      <c r="C23" s="734"/>
      <c r="D23" s="734"/>
      <c r="E23" s="734"/>
      <c r="F23" s="768" t="s">
        <v>230</v>
      </c>
      <c r="G23" s="424" t="s">
        <v>530</v>
      </c>
      <c r="H23" s="424" t="s">
        <v>531</v>
      </c>
      <c r="I23" s="244" t="s">
        <v>524</v>
      </c>
      <c r="J23" s="244" t="s">
        <v>525</v>
      </c>
      <c r="K23" s="245" t="s">
        <v>526</v>
      </c>
      <c r="L23" s="245" t="s">
        <v>527</v>
      </c>
      <c r="M23" s="245" t="s">
        <v>528</v>
      </c>
      <c r="N23" s="245" t="s">
        <v>529</v>
      </c>
      <c r="O23" s="425" t="s">
        <v>532</v>
      </c>
      <c r="P23" s="424" t="s">
        <v>533</v>
      </c>
    </row>
    <row r="24" spans="1:21" ht="19.5" customHeight="1">
      <c r="A24" s="735"/>
      <c r="B24" s="736"/>
      <c r="C24" s="736"/>
      <c r="D24" s="736"/>
      <c r="E24" s="736"/>
      <c r="F24" s="769"/>
      <c r="G24" s="426" t="s">
        <v>7</v>
      </c>
      <c r="H24" s="426" t="s">
        <v>7</v>
      </c>
      <c r="I24" s="426" t="s">
        <v>7</v>
      </c>
      <c r="J24" s="426" t="s">
        <v>7</v>
      </c>
      <c r="K24" s="426" t="s">
        <v>7</v>
      </c>
      <c r="L24" s="426" t="s">
        <v>7</v>
      </c>
      <c r="M24" s="426" t="s">
        <v>7</v>
      </c>
      <c r="N24" s="426" t="s">
        <v>7</v>
      </c>
      <c r="O24" s="426" t="s">
        <v>7</v>
      </c>
      <c r="P24" s="426" t="s">
        <v>7</v>
      </c>
    </row>
    <row r="25" spans="1:21" ht="18.5" customHeight="1">
      <c r="A25" s="171" t="s">
        <v>3</v>
      </c>
      <c r="B25" s="755" t="s">
        <v>351</v>
      </c>
      <c r="C25" s="756"/>
      <c r="D25" s="756"/>
      <c r="E25" s="756"/>
      <c r="F25" s="759"/>
      <c r="G25" s="472">
        <f>G16</f>
        <v>1730.75</v>
      </c>
      <c r="H25" s="472">
        <f>H16</f>
        <v>1730.75</v>
      </c>
      <c r="I25" s="472">
        <f t="shared" ref="I25:N25" si="0">ROUND((I16*30)/44,2)</f>
        <v>1180.06</v>
      </c>
      <c r="J25" s="472">
        <f t="shared" si="0"/>
        <v>1180.06</v>
      </c>
      <c r="K25" s="472">
        <f t="shared" si="0"/>
        <v>1180.06</v>
      </c>
      <c r="L25" s="472">
        <f t="shared" si="0"/>
        <v>1180.06</v>
      </c>
      <c r="M25" s="472">
        <f t="shared" si="0"/>
        <v>1180.06</v>
      </c>
      <c r="N25" s="472">
        <f t="shared" si="0"/>
        <v>1180.06</v>
      </c>
      <c r="O25" s="472">
        <f>O16</f>
        <v>1730.75</v>
      </c>
      <c r="P25" s="472">
        <f>P16</f>
        <v>1730.75</v>
      </c>
    </row>
    <row r="26" spans="1:21" ht="38.5" customHeight="1">
      <c r="A26" s="34" t="s">
        <v>4</v>
      </c>
      <c r="B26" s="502" t="s">
        <v>514</v>
      </c>
      <c r="C26" s="503"/>
      <c r="D26" s="503"/>
      <c r="E26" s="504"/>
      <c r="F26" s="254">
        <v>0.4</v>
      </c>
      <c r="G26" s="253">
        <f>ROUND($F$26*G16,2)</f>
        <v>692.3</v>
      </c>
      <c r="H26" s="253">
        <f t="shared" ref="H26:P26" si="1">ROUND($F$26*H16,2)</f>
        <v>692.3</v>
      </c>
      <c r="I26" s="253">
        <f t="shared" si="1"/>
        <v>692.3</v>
      </c>
      <c r="J26" s="253">
        <f t="shared" si="1"/>
        <v>692.3</v>
      </c>
      <c r="K26" s="253">
        <f t="shared" si="1"/>
        <v>692.3</v>
      </c>
      <c r="L26" s="253">
        <f t="shared" si="1"/>
        <v>692.3</v>
      </c>
      <c r="M26" s="253">
        <f t="shared" si="1"/>
        <v>692.3</v>
      </c>
      <c r="N26" s="253">
        <f t="shared" si="1"/>
        <v>692.3</v>
      </c>
      <c r="O26" s="253">
        <f t="shared" si="1"/>
        <v>692.3</v>
      </c>
      <c r="P26" s="253">
        <f t="shared" si="1"/>
        <v>692.3</v>
      </c>
      <c r="Q26" s="825"/>
      <c r="R26" s="825"/>
      <c r="S26" s="825"/>
      <c r="T26" s="825"/>
      <c r="U26" s="825"/>
    </row>
    <row r="27" spans="1:21" ht="18.5" customHeight="1">
      <c r="A27" s="171" t="s">
        <v>5</v>
      </c>
      <c r="B27" s="755" t="s">
        <v>311</v>
      </c>
      <c r="C27" s="756"/>
      <c r="D27" s="756"/>
      <c r="E27" s="756"/>
      <c r="F27" s="255">
        <v>0.15</v>
      </c>
      <c r="G27" s="96"/>
      <c r="H27" s="256">
        <f>ROUND(F27*H25,2)</f>
        <v>259.61</v>
      </c>
      <c r="I27" s="253"/>
      <c r="J27" s="253"/>
      <c r="K27" s="253"/>
      <c r="L27" s="253"/>
      <c r="M27" s="253"/>
      <c r="N27" s="253"/>
      <c r="O27" s="253"/>
      <c r="P27" s="253"/>
    </row>
    <row r="28" spans="1:21" ht="18" customHeight="1">
      <c r="A28" s="171" t="s">
        <v>216</v>
      </c>
      <c r="B28" s="757" t="s">
        <v>231</v>
      </c>
      <c r="C28" s="758"/>
      <c r="D28" s="758"/>
      <c r="E28" s="758"/>
      <c r="F28" s="451"/>
      <c r="G28" s="451"/>
      <c r="H28" s="452"/>
      <c r="I28" s="453"/>
      <c r="J28" s="453"/>
      <c r="K28" s="453"/>
      <c r="L28" s="453"/>
      <c r="M28" s="453"/>
      <c r="N28" s="453"/>
      <c r="O28" s="453"/>
      <c r="P28" s="453"/>
    </row>
    <row r="29" spans="1:21" ht="18" customHeight="1">
      <c r="A29" s="171" t="s">
        <v>218</v>
      </c>
      <c r="B29" s="739" t="s">
        <v>231</v>
      </c>
      <c r="C29" s="740"/>
      <c r="D29" s="740"/>
      <c r="E29" s="740"/>
      <c r="F29" s="454"/>
      <c r="G29" s="454"/>
      <c r="H29" s="452"/>
      <c r="I29" s="453"/>
      <c r="J29" s="453"/>
      <c r="K29" s="453"/>
      <c r="L29" s="453"/>
      <c r="M29" s="453"/>
      <c r="N29" s="453"/>
      <c r="O29" s="453"/>
      <c r="P29" s="453"/>
    </row>
    <row r="30" spans="1:21" ht="22" customHeight="1">
      <c r="A30" s="743" t="s">
        <v>232</v>
      </c>
      <c r="B30" s="744"/>
      <c r="C30" s="744"/>
      <c r="D30" s="744"/>
      <c r="E30" s="744"/>
      <c r="F30" s="745"/>
      <c r="G30" s="257">
        <f>ROUND(SUM(G25:G29),2)</f>
        <v>2423.0500000000002</v>
      </c>
      <c r="H30" s="257">
        <f>ROUND(SUM(H25:H29),2)</f>
        <v>2682.66</v>
      </c>
      <c r="I30" s="257">
        <f>ROUND(SUM(I25:I29),2)</f>
        <v>1872.36</v>
      </c>
      <c r="J30" s="257">
        <f>ROUND(SUM(J25:J29),2)</f>
        <v>1872.36</v>
      </c>
      <c r="K30" s="257">
        <f>ROUND(SUM(K25:K29),2)</f>
        <v>1872.36</v>
      </c>
      <c r="L30" s="257">
        <f t="shared" ref="L30:P30" si="2">ROUND(SUM(L25:L29),2)</f>
        <v>1872.36</v>
      </c>
      <c r="M30" s="257">
        <f t="shared" si="2"/>
        <v>1872.36</v>
      </c>
      <c r="N30" s="257">
        <f t="shared" si="2"/>
        <v>1872.36</v>
      </c>
      <c r="O30" s="257">
        <f t="shared" si="2"/>
        <v>2423.0500000000002</v>
      </c>
      <c r="P30" s="257">
        <f t="shared" si="2"/>
        <v>2423.0500000000002</v>
      </c>
    </row>
    <row r="31" spans="1:21" ht="7.5" customHeight="1">
      <c r="A31" s="258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60"/>
    </row>
    <row r="32" spans="1:21" s="261" customFormat="1" ht="21.65" customHeight="1">
      <c r="A32" s="559" t="s">
        <v>233</v>
      </c>
      <c r="B32" s="560"/>
      <c r="C32" s="560"/>
      <c r="D32" s="560"/>
      <c r="E32" s="560"/>
      <c r="F32" s="560"/>
      <c r="G32" s="560"/>
      <c r="H32" s="560"/>
      <c r="I32" s="560"/>
      <c r="J32" s="560"/>
      <c r="K32" s="560"/>
      <c r="L32" s="560"/>
      <c r="M32" s="560"/>
      <c r="N32" s="560"/>
      <c r="O32" s="560"/>
      <c r="P32" s="561"/>
    </row>
    <row r="33" spans="1:986" s="261" customFormat="1" ht="45" customHeight="1">
      <c r="A33" s="262"/>
      <c r="B33" s="263"/>
      <c r="C33" s="263"/>
      <c r="D33" s="263"/>
      <c r="E33" s="263"/>
      <c r="F33" s="264"/>
      <c r="G33" s="424" t="s">
        <v>530</v>
      </c>
      <c r="H33" s="424" t="s">
        <v>531</v>
      </c>
      <c r="I33" s="244" t="s">
        <v>524</v>
      </c>
      <c r="J33" s="244" t="s">
        <v>525</v>
      </c>
      <c r="K33" s="245" t="s">
        <v>526</v>
      </c>
      <c r="L33" s="245" t="s">
        <v>527</v>
      </c>
      <c r="M33" s="245" t="s">
        <v>528</v>
      </c>
      <c r="N33" s="245" t="s">
        <v>529</v>
      </c>
      <c r="O33" s="425" t="s">
        <v>532</v>
      </c>
      <c r="P33" s="424" t="s">
        <v>533</v>
      </c>
    </row>
    <row r="34" spans="1:986" s="261" customFormat="1" ht="19.5" customHeight="1">
      <c r="A34" s="760" t="s">
        <v>234</v>
      </c>
      <c r="B34" s="761"/>
      <c r="C34" s="761"/>
      <c r="D34" s="761"/>
      <c r="E34" s="761"/>
      <c r="F34" s="761"/>
      <c r="G34" s="761"/>
      <c r="H34" s="761"/>
      <c r="I34" s="761"/>
      <c r="J34" s="761"/>
      <c r="K34" s="761"/>
      <c r="L34" s="761"/>
      <c r="M34" s="761"/>
      <c r="N34" s="761"/>
      <c r="O34" s="761"/>
      <c r="P34" s="762"/>
    </row>
    <row r="35" spans="1:986" s="270" customFormat="1" ht="19.5" customHeight="1">
      <c r="A35" s="265"/>
      <c r="B35" s="266"/>
      <c r="C35" s="266"/>
      <c r="D35" s="266"/>
      <c r="E35" s="267"/>
      <c r="F35" s="427" t="s">
        <v>8</v>
      </c>
      <c r="G35" s="428" t="s">
        <v>7</v>
      </c>
      <c r="H35" s="428" t="s">
        <v>7</v>
      </c>
      <c r="I35" s="429" t="s">
        <v>7</v>
      </c>
      <c r="J35" s="429" t="s">
        <v>7</v>
      </c>
      <c r="K35" s="428" t="s">
        <v>7</v>
      </c>
      <c r="L35" s="428" t="s">
        <v>7</v>
      </c>
      <c r="M35" s="428" t="s">
        <v>7</v>
      </c>
      <c r="N35" s="428" t="s">
        <v>7</v>
      </c>
      <c r="O35" s="428" t="s">
        <v>7</v>
      </c>
      <c r="P35" s="428" t="s">
        <v>7</v>
      </c>
      <c r="AKW35" s="66"/>
      <c r="AKX35" s="66"/>
    </row>
    <row r="36" spans="1:986" ht="19.5" customHeight="1">
      <c r="A36" s="271" t="s">
        <v>3</v>
      </c>
      <c r="B36" s="83" t="s">
        <v>235</v>
      </c>
      <c r="C36" s="84"/>
      <c r="D36" s="84"/>
      <c r="E36" s="85"/>
      <c r="F36" s="96">
        <v>8.3299999999999999E-2</v>
      </c>
      <c r="G36" s="272">
        <f>ROUND($F$36*G30,2)</f>
        <v>201.84</v>
      </c>
      <c r="H36" s="272">
        <f>ROUND($F$36*H30,2)</f>
        <v>223.47</v>
      </c>
      <c r="I36" s="272">
        <f t="shared" ref="I36:K36" si="3">ROUND($F$36*I30,2)</f>
        <v>155.97</v>
      </c>
      <c r="J36" s="272">
        <f t="shared" si="3"/>
        <v>155.97</v>
      </c>
      <c r="K36" s="272">
        <f t="shared" si="3"/>
        <v>155.97</v>
      </c>
      <c r="L36" s="272">
        <f t="shared" ref="L36:P36" si="4">ROUND($F$36*L30,2)</f>
        <v>155.97</v>
      </c>
      <c r="M36" s="272">
        <f t="shared" si="4"/>
        <v>155.97</v>
      </c>
      <c r="N36" s="272">
        <f t="shared" si="4"/>
        <v>155.97</v>
      </c>
      <c r="O36" s="272">
        <f t="shared" si="4"/>
        <v>201.84</v>
      </c>
      <c r="P36" s="272">
        <f t="shared" si="4"/>
        <v>201.84</v>
      </c>
    </row>
    <row r="37" spans="1:986" ht="19.5" customHeight="1">
      <c r="A37" s="171" t="s">
        <v>4</v>
      </c>
      <c r="B37" s="273" t="s">
        <v>236</v>
      </c>
      <c r="C37" s="274"/>
      <c r="D37" s="274"/>
      <c r="E37" s="170"/>
      <c r="F37" s="275">
        <v>3.0249999999999999E-2</v>
      </c>
      <c r="G37" s="272">
        <f>ROUND($F$37*G30,2)</f>
        <v>73.3</v>
      </c>
      <c r="H37" s="272">
        <f>ROUND($F$37*H30,2)</f>
        <v>81.150000000000006</v>
      </c>
      <c r="I37" s="272">
        <f t="shared" ref="I37:K37" si="5">ROUND($F$37*I30,2)</f>
        <v>56.64</v>
      </c>
      <c r="J37" s="272">
        <f t="shared" si="5"/>
        <v>56.64</v>
      </c>
      <c r="K37" s="272">
        <f t="shared" si="5"/>
        <v>56.64</v>
      </c>
      <c r="L37" s="272">
        <f t="shared" ref="L37:P37" si="6">ROUND($F$37*L30,2)</f>
        <v>56.64</v>
      </c>
      <c r="M37" s="272">
        <f t="shared" si="6"/>
        <v>56.64</v>
      </c>
      <c r="N37" s="272">
        <f t="shared" si="6"/>
        <v>56.64</v>
      </c>
      <c r="O37" s="272">
        <f t="shared" si="6"/>
        <v>73.3</v>
      </c>
      <c r="P37" s="272">
        <f t="shared" si="6"/>
        <v>73.3</v>
      </c>
    </row>
    <row r="38" spans="1:986" ht="19.5" customHeight="1">
      <c r="A38" s="746" t="s">
        <v>237</v>
      </c>
      <c r="B38" s="747"/>
      <c r="C38" s="747"/>
      <c r="D38" s="747"/>
      <c r="E38" s="748"/>
      <c r="F38" s="276">
        <f>SUM(F36:F37)</f>
        <v>0.11360000000000001</v>
      </c>
      <c r="G38" s="277">
        <f>ROUND(SUM(G36:G37),2)</f>
        <v>275.14</v>
      </c>
      <c r="H38" s="277">
        <f>ROUND(SUM(H36:H37),2)</f>
        <v>304.62</v>
      </c>
      <c r="I38" s="277">
        <f t="shared" ref="I38:K38" si="7">ROUND(SUM(I36:I37),2)</f>
        <v>212.61</v>
      </c>
      <c r="J38" s="277">
        <f t="shared" si="7"/>
        <v>212.61</v>
      </c>
      <c r="K38" s="277">
        <f t="shared" si="7"/>
        <v>212.61</v>
      </c>
      <c r="L38" s="278">
        <f t="shared" ref="L38:P38" si="8">ROUND(SUM(L36:L37),2)</f>
        <v>212.61</v>
      </c>
      <c r="M38" s="278">
        <f t="shared" si="8"/>
        <v>212.61</v>
      </c>
      <c r="N38" s="278">
        <f t="shared" si="8"/>
        <v>212.61</v>
      </c>
      <c r="O38" s="278">
        <f t="shared" si="8"/>
        <v>275.14</v>
      </c>
      <c r="P38" s="278">
        <f t="shared" si="8"/>
        <v>275.14</v>
      </c>
    </row>
    <row r="39" spans="1:986" ht="6.75" customHeight="1">
      <c r="A39" s="279"/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986" ht="19.5" customHeight="1">
      <c r="A40" s="752" t="s">
        <v>238</v>
      </c>
      <c r="B40" s="752"/>
      <c r="C40" s="752"/>
      <c r="D40" s="752"/>
      <c r="E40" s="752"/>
      <c r="F40" s="752"/>
      <c r="G40" s="752"/>
      <c r="H40" s="752"/>
      <c r="I40" s="752"/>
      <c r="J40" s="752"/>
      <c r="K40" s="752"/>
      <c r="L40" s="752"/>
      <c r="M40" s="752"/>
      <c r="N40" s="752"/>
      <c r="O40" s="752"/>
      <c r="P40" s="752"/>
    </row>
    <row r="41" spans="1:986" s="270" customFormat="1" ht="19.5" customHeight="1">
      <c r="A41" s="265"/>
      <c r="B41" s="263"/>
      <c r="C41" s="263"/>
      <c r="D41" s="263"/>
      <c r="E41" s="264"/>
      <c r="F41" s="427" t="s">
        <v>8</v>
      </c>
      <c r="G41" s="426" t="s">
        <v>7</v>
      </c>
      <c r="H41" s="428" t="s">
        <v>7</v>
      </c>
      <c r="I41" s="429" t="s">
        <v>7</v>
      </c>
      <c r="J41" s="429" t="s">
        <v>7</v>
      </c>
      <c r="K41" s="428" t="s">
        <v>7</v>
      </c>
      <c r="L41" s="428" t="s">
        <v>7</v>
      </c>
      <c r="M41" s="428" t="s">
        <v>7</v>
      </c>
      <c r="N41" s="428" t="s">
        <v>7</v>
      </c>
      <c r="O41" s="428" t="s">
        <v>7</v>
      </c>
      <c r="P41" s="428" t="s">
        <v>7</v>
      </c>
      <c r="AKW41" s="66"/>
      <c r="AKX41" s="66"/>
    </row>
    <row r="42" spans="1:986" ht="19.5" customHeight="1">
      <c r="A42" s="271" t="s">
        <v>3</v>
      </c>
      <c r="B42" s="281" t="s">
        <v>208</v>
      </c>
      <c r="C42" s="93"/>
      <c r="D42" s="93"/>
      <c r="E42" s="282"/>
      <c r="F42" s="96">
        <v>0.2</v>
      </c>
      <c r="G42" s="251">
        <f>ROUND(F42*$G$30,2)</f>
        <v>484.61</v>
      </c>
      <c r="H42" s="251">
        <f>ROUND(F42*$H$30,2)</f>
        <v>536.53</v>
      </c>
      <c r="I42" s="251">
        <f>ROUND(F42*$I$30,2)</f>
        <v>374.47</v>
      </c>
      <c r="J42" s="251">
        <f>ROUND(F42*$J$30,2)</f>
        <v>374.47</v>
      </c>
      <c r="K42" s="251">
        <f>ROUND(F42*$K$30,2)</f>
        <v>374.47</v>
      </c>
      <c r="L42" s="44">
        <f>ROUND(F42*$L$30,2)</f>
        <v>374.47</v>
      </c>
      <c r="M42" s="44">
        <f>ROUND(F42*$M$30,2)</f>
        <v>374.47</v>
      </c>
      <c r="N42" s="44">
        <f>ROUND(F42*$N$30,2)</f>
        <v>374.47</v>
      </c>
      <c r="O42" s="44">
        <f>ROUND(F42*$O$30,2)</f>
        <v>484.61</v>
      </c>
      <c r="P42" s="44">
        <f>ROUND(F42*$P$30,2)</f>
        <v>484.61</v>
      </c>
    </row>
    <row r="43" spans="1:986" ht="19.5" customHeight="1">
      <c r="A43" s="171" t="s">
        <v>4</v>
      </c>
      <c r="B43" s="83" t="s">
        <v>239</v>
      </c>
      <c r="C43" s="84"/>
      <c r="D43" s="84"/>
      <c r="E43" s="85"/>
      <c r="F43" s="96">
        <v>2.5000000000000001E-2</v>
      </c>
      <c r="G43" s="251">
        <f t="shared" ref="G43:G49" si="9">ROUND(F43*$G$30,2)</f>
        <v>60.58</v>
      </c>
      <c r="H43" s="251">
        <f t="shared" ref="H43:H49" si="10">ROUND(F43*$H$30,2)</f>
        <v>67.069999999999993</v>
      </c>
      <c r="I43" s="251">
        <f t="shared" ref="I43:I49" si="11">ROUND(F43*$I$30,2)</f>
        <v>46.81</v>
      </c>
      <c r="J43" s="251">
        <f t="shared" ref="J43:J49" si="12">ROUND(F43*$J$30,2)</f>
        <v>46.81</v>
      </c>
      <c r="K43" s="251">
        <f t="shared" ref="K43:K49" si="13">ROUND(F43*$K$30,2)</f>
        <v>46.81</v>
      </c>
      <c r="L43" s="44">
        <f t="shared" ref="L43:L49" si="14">ROUND(F43*$L$30,2)</f>
        <v>46.81</v>
      </c>
      <c r="M43" s="44">
        <f t="shared" ref="M43:M49" si="15">ROUND(F43*$M$30,2)</f>
        <v>46.81</v>
      </c>
      <c r="N43" s="44">
        <f t="shared" ref="N43:N49" si="16">ROUND(F43*$N$30,2)</f>
        <v>46.81</v>
      </c>
      <c r="O43" s="44">
        <f t="shared" ref="O43:O49" si="17">ROUND(F43*$O$30,2)</f>
        <v>60.58</v>
      </c>
      <c r="P43" s="44">
        <f t="shared" ref="P43:P49" si="18">ROUND(F43*$P$30,2)</f>
        <v>60.58</v>
      </c>
    </row>
    <row r="44" spans="1:986" ht="19.5" customHeight="1">
      <c r="A44" s="171" t="s">
        <v>5</v>
      </c>
      <c r="B44" s="749" t="s">
        <v>240</v>
      </c>
      <c r="C44" s="750"/>
      <c r="D44" s="750"/>
      <c r="E44" s="751"/>
      <c r="F44" s="455">
        <v>0.03</v>
      </c>
      <c r="G44" s="251">
        <f t="shared" si="9"/>
        <v>72.69</v>
      </c>
      <c r="H44" s="251">
        <f t="shared" si="10"/>
        <v>80.48</v>
      </c>
      <c r="I44" s="251">
        <f t="shared" si="11"/>
        <v>56.17</v>
      </c>
      <c r="J44" s="251">
        <f t="shared" si="12"/>
        <v>56.17</v>
      </c>
      <c r="K44" s="251">
        <f t="shared" si="13"/>
        <v>56.17</v>
      </c>
      <c r="L44" s="44">
        <f t="shared" si="14"/>
        <v>56.17</v>
      </c>
      <c r="M44" s="44">
        <f t="shared" si="15"/>
        <v>56.17</v>
      </c>
      <c r="N44" s="44">
        <f t="shared" si="16"/>
        <v>56.17</v>
      </c>
      <c r="O44" s="44">
        <f t="shared" si="17"/>
        <v>72.69</v>
      </c>
      <c r="P44" s="44">
        <f t="shared" si="18"/>
        <v>72.69</v>
      </c>
    </row>
    <row r="45" spans="1:986" ht="19.5" customHeight="1">
      <c r="A45" s="171" t="s">
        <v>216</v>
      </c>
      <c r="B45" s="83" t="s">
        <v>241</v>
      </c>
      <c r="C45" s="84"/>
      <c r="D45" s="84"/>
      <c r="E45" s="85"/>
      <c r="F45" s="96">
        <v>1.4999999999999999E-2</v>
      </c>
      <c r="G45" s="251">
        <f t="shared" si="9"/>
        <v>36.35</v>
      </c>
      <c r="H45" s="251">
        <f t="shared" si="10"/>
        <v>40.24</v>
      </c>
      <c r="I45" s="251">
        <f t="shared" si="11"/>
        <v>28.09</v>
      </c>
      <c r="J45" s="251">
        <f t="shared" si="12"/>
        <v>28.09</v>
      </c>
      <c r="K45" s="251">
        <f t="shared" si="13"/>
        <v>28.09</v>
      </c>
      <c r="L45" s="44">
        <f t="shared" si="14"/>
        <v>28.09</v>
      </c>
      <c r="M45" s="44">
        <f t="shared" si="15"/>
        <v>28.09</v>
      </c>
      <c r="N45" s="44">
        <f t="shared" si="16"/>
        <v>28.09</v>
      </c>
      <c r="O45" s="44">
        <f t="shared" si="17"/>
        <v>36.35</v>
      </c>
      <c r="P45" s="44">
        <f t="shared" si="18"/>
        <v>36.35</v>
      </c>
    </row>
    <row r="46" spans="1:986" ht="19.5" customHeight="1">
      <c r="A46" s="171" t="s">
        <v>218</v>
      </c>
      <c r="B46" s="83" t="s">
        <v>242</v>
      </c>
      <c r="C46" s="84"/>
      <c r="D46" s="84"/>
      <c r="E46" s="85"/>
      <c r="F46" s="96">
        <v>0.01</v>
      </c>
      <c r="G46" s="251">
        <f t="shared" si="9"/>
        <v>24.23</v>
      </c>
      <c r="H46" s="251">
        <f t="shared" si="10"/>
        <v>26.83</v>
      </c>
      <c r="I46" s="251">
        <f t="shared" si="11"/>
        <v>18.72</v>
      </c>
      <c r="J46" s="251">
        <f t="shared" si="12"/>
        <v>18.72</v>
      </c>
      <c r="K46" s="251">
        <f t="shared" si="13"/>
        <v>18.72</v>
      </c>
      <c r="L46" s="44">
        <f t="shared" si="14"/>
        <v>18.72</v>
      </c>
      <c r="M46" s="44">
        <f t="shared" si="15"/>
        <v>18.72</v>
      </c>
      <c r="N46" s="44">
        <f t="shared" si="16"/>
        <v>18.72</v>
      </c>
      <c r="O46" s="44">
        <f t="shared" si="17"/>
        <v>24.23</v>
      </c>
      <c r="P46" s="44">
        <f t="shared" si="18"/>
        <v>24.23</v>
      </c>
    </row>
    <row r="47" spans="1:986" ht="19.5" customHeight="1">
      <c r="A47" s="171" t="s">
        <v>221</v>
      </c>
      <c r="B47" s="83" t="s">
        <v>243</v>
      </c>
      <c r="C47" s="84"/>
      <c r="D47" s="84"/>
      <c r="E47" s="85"/>
      <c r="F47" s="96">
        <v>6.0000000000000001E-3</v>
      </c>
      <c r="G47" s="251">
        <f t="shared" si="9"/>
        <v>14.54</v>
      </c>
      <c r="H47" s="251">
        <f t="shared" si="10"/>
        <v>16.100000000000001</v>
      </c>
      <c r="I47" s="251">
        <f t="shared" si="11"/>
        <v>11.23</v>
      </c>
      <c r="J47" s="251">
        <f t="shared" si="12"/>
        <v>11.23</v>
      </c>
      <c r="K47" s="251">
        <f t="shared" si="13"/>
        <v>11.23</v>
      </c>
      <c r="L47" s="44">
        <f t="shared" si="14"/>
        <v>11.23</v>
      </c>
      <c r="M47" s="44">
        <f t="shared" si="15"/>
        <v>11.23</v>
      </c>
      <c r="N47" s="44">
        <f t="shared" si="16"/>
        <v>11.23</v>
      </c>
      <c r="O47" s="44">
        <f t="shared" si="17"/>
        <v>14.54</v>
      </c>
      <c r="P47" s="44">
        <f t="shared" si="18"/>
        <v>14.54</v>
      </c>
    </row>
    <row r="48" spans="1:986" ht="19.5" customHeight="1">
      <c r="A48" s="171" t="s">
        <v>223</v>
      </c>
      <c r="B48" s="83" t="s">
        <v>244</v>
      </c>
      <c r="C48" s="84"/>
      <c r="D48" s="84"/>
      <c r="E48" s="85"/>
      <c r="F48" s="96">
        <v>2E-3</v>
      </c>
      <c r="G48" s="251">
        <f t="shared" si="9"/>
        <v>4.8499999999999996</v>
      </c>
      <c r="H48" s="251">
        <f t="shared" si="10"/>
        <v>5.37</v>
      </c>
      <c r="I48" s="251">
        <f t="shared" si="11"/>
        <v>3.74</v>
      </c>
      <c r="J48" s="251">
        <f t="shared" si="12"/>
        <v>3.74</v>
      </c>
      <c r="K48" s="251">
        <f t="shared" si="13"/>
        <v>3.74</v>
      </c>
      <c r="L48" s="44">
        <f t="shared" si="14"/>
        <v>3.74</v>
      </c>
      <c r="M48" s="44">
        <f t="shared" si="15"/>
        <v>3.74</v>
      </c>
      <c r="N48" s="44">
        <f t="shared" si="16"/>
        <v>3.74</v>
      </c>
      <c r="O48" s="44">
        <f t="shared" si="17"/>
        <v>4.8499999999999996</v>
      </c>
      <c r="P48" s="44">
        <f t="shared" si="18"/>
        <v>4.8499999999999996</v>
      </c>
    </row>
    <row r="49" spans="1:16" ht="19.5" customHeight="1">
      <c r="A49" s="171" t="s">
        <v>225</v>
      </c>
      <c r="B49" s="273" t="s">
        <v>245</v>
      </c>
      <c r="C49" s="274"/>
      <c r="D49" s="274"/>
      <c r="E49" s="170"/>
      <c r="F49" s="96">
        <v>0.08</v>
      </c>
      <c r="G49" s="251">
        <f t="shared" si="9"/>
        <v>193.84</v>
      </c>
      <c r="H49" s="251">
        <f t="shared" si="10"/>
        <v>214.61</v>
      </c>
      <c r="I49" s="251">
        <f t="shared" si="11"/>
        <v>149.79</v>
      </c>
      <c r="J49" s="251">
        <f t="shared" si="12"/>
        <v>149.79</v>
      </c>
      <c r="K49" s="251">
        <f t="shared" si="13"/>
        <v>149.79</v>
      </c>
      <c r="L49" s="44">
        <f t="shared" si="14"/>
        <v>149.79</v>
      </c>
      <c r="M49" s="44">
        <f t="shared" si="15"/>
        <v>149.79</v>
      </c>
      <c r="N49" s="44">
        <f t="shared" si="16"/>
        <v>149.79</v>
      </c>
      <c r="O49" s="44">
        <f t="shared" si="17"/>
        <v>193.84</v>
      </c>
      <c r="P49" s="44">
        <f t="shared" si="18"/>
        <v>193.84</v>
      </c>
    </row>
    <row r="50" spans="1:16" ht="19" customHeight="1">
      <c r="A50" s="752" t="s">
        <v>246</v>
      </c>
      <c r="B50" s="752"/>
      <c r="C50" s="752"/>
      <c r="D50" s="752"/>
      <c r="E50" s="752"/>
      <c r="F50" s="283">
        <f>SUM(F42:F49)</f>
        <v>0.36799999999999999</v>
      </c>
      <c r="G50" s="284">
        <f>ROUND(SUM(G42:G49),2)</f>
        <v>891.69</v>
      </c>
      <c r="H50" s="284">
        <f>ROUND(SUM(H42:H49),2)</f>
        <v>987.23</v>
      </c>
      <c r="I50" s="284">
        <f t="shared" ref="I50:P50" si="19">ROUND(SUM(I42:I49),2)</f>
        <v>689.02</v>
      </c>
      <c r="J50" s="284">
        <f t="shared" si="19"/>
        <v>689.02</v>
      </c>
      <c r="K50" s="284">
        <f t="shared" si="19"/>
        <v>689.02</v>
      </c>
      <c r="L50" s="284">
        <f t="shared" si="19"/>
        <v>689.02</v>
      </c>
      <c r="M50" s="284">
        <f t="shared" si="19"/>
        <v>689.02</v>
      </c>
      <c r="N50" s="284">
        <f t="shared" si="19"/>
        <v>689.02</v>
      </c>
      <c r="O50" s="284">
        <f t="shared" si="19"/>
        <v>891.69</v>
      </c>
      <c r="P50" s="284">
        <f t="shared" si="19"/>
        <v>891.69</v>
      </c>
    </row>
    <row r="51" spans="1:16" ht="5.25" customHeigh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6" ht="19.5" customHeight="1">
      <c r="A52" s="752" t="s">
        <v>247</v>
      </c>
      <c r="B52" s="752"/>
      <c r="C52" s="752"/>
      <c r="D52" s="752"/>
      <c r="E52" s="752"/>
      <c r="F52" s="752"/>
      <c r="G52" s="752"/>
      <c r="H52" s="752"/>
      <c r="I52" s="752"/>
      <c r="J52" s="752"/>
      <c r="K52" s="752"/>
      <c r="L52" s="752"/>
      <c r="M52" s="752"/>
      <c r="N52" s="752"/>
      <c r="O52" s="752"/>
      <c r="P52" s="752"/>
    </row>
    <row r="53" spans="1:16" ht="19.5" customHeight="1">
      <c r="A53" s="265"/>
      <c r="B53" s="263"/>
      <c r="C53" s="263"/>
      <c r="D53" s="263"/>
      <c r="E53" s="263"/>
      <c r="F53" s="264"/>
      <c r="G53" s="426" t="s">
        <v>7</v>
      </c>
      <c r="H53" s="430" t="s">
        <v>7</v>
      </c>
      <c r="I53" s="429" t="s">
        <v>7</v>
      </c>
      <c r="J53" s="429" t="s">
        <v>7</v>
      </c>
      <c r="K53" s="428" t="s">
        <v>7</v>
      </c>
      <c r="L53" s="428" t="s">
        <v>7</v>
      </c>
      <c r="M53" s="428" t="s">
        <v>7</v>
      </c>
      <c r="N53" s="428" t="s">
        <v>7</v>
      </c>
      <c r="O53" s="428" t="s">
        <v>7</v>
      </c>
      <c r="P53" s="428" t="s">
        <v>7</v>
      </c>
    </row>
    <row r="54" spans="1:16" ht="19.5" customHeight="1">
      <c r="A54" s="285" t="s">
        <v>3</v>
      </c>
      <c r="B54" s="741" t="s">
        <v>248</v>
      </c>
      <c r="C54" s="741"/>
      <c r="D54" s="741"/>
      <c r="E54" s="741"/>
      <c r="F54" s="483"/>
      <c r="G54" s="272">
        <f>ROUND(('Benefícios e Outros Dados'!F16-'Benefícios e Outros Dados'!F17)*'Benefícios e Outros Dados'!$K$13,2)</f>
        <v>472.5</v>
      </c>
      <c r="H54" s="272">
        <f>ROUND(('Benefícios e Outros Dados'!F16-'Benefícios e Outros Dados'!F17)*'Benefícios e Outros Dados'!$K$13,2)</f>
        <v>472.5</v>
      </c>
      <c r="I54" s="272">
        <f>ROUND(('Benefícios e Outros Dados'!F18-'Benefícios e Outros Dados'!F19)*'Benefícios e Outros Dados'!K13,2)</f>
        <v>472.5</v>
      </c>
      <c r="J54" s="272">
        <f>ROUND(('Benefícios e Outros Dados'!F20-'Benefícios e Outros Dados'!F21)*'Benefícios e Outros Dados'!K13,2)</f>
        <v>472.5</v>
      </c>
      <c r="K54" s="272">
        <f>ROUND(('Benefícios e Outros Dados'!F22-'Benefícios e Outros Dados'!F23)*'Benefícios e Outros Dados'!K13,2)</f>
        <v>472.5</v>
      </c>
      <c r="L54" s="272">
        <f>ROUND(('Benefícios e Outros Dados'!F24-'Benefícios e Outros Dados'!F25)*'Benefícios e Outros Dados'!K13,2)</f>
        <v>472.5</v>
      </c>
      <c r="M54" s="44">
        <f>ROUND(('Benefícios e Outros Dados'!F26-'Benefícios e Outros Dados'!F27)*'Benefícios e Outros Dados'!K13,2)</f>
        <v>472.5</v>
      </c>
      <c r="N54" s="44">
        <f>ROUND(('Benefícios e Outros Dados'!F28-'Benefícios e Outros Dados'!F29)*'Benefícios e Outros Dados'!K13,2)</f>
        <v>472.5</v>
      </c>
      <c r="O54" s="44">
        <f>ROUND(('Benefícios e Outros Dados'!F30-'Benefícios e Outros Dados'!F31)*'Benefícios e Outros Dados'!K13,2)</f>
        <v>472.5</v>
      </c>
      <c r="P54" s="44">
        <f>ROUND(('Benefícios e Outros Dados'!F32-'Benefícios e Outros Dados'!F33)*'Benefícios e Outros Dados'!K13,2)</f>
        <v>472.5</v>
      </c>
    </row>
    <row r="55" spans="1:16" ht="19.5" customHeight="1">
      <c r="A55" s="34" t="s">
        <v>4</v>
      </c>
      <c r="B55" s="737" t="s">
        <v>10</v>
      </c>
      <c r="C55" s="738"/>
      <c r="D55" s="738"/>
      <c r="E55" s="738"/>
      <c r="F55" s="738"/>
      <c r="G55" s="286">
        <f>ROUND((('Benefícios e Outros Dados'!I16*'Benefícios e Outros Dados'!I17)*'Benefícios e Outros Dados'!K13)-(0.06*G25),2)</f>
        <v>162.86000000000001</v>
      </c>
      <c r="H55" s="286">
        <f>ROUND((('Benefícios e Outros Dados'!I16*'Benefícios e Outros Dados'!I17)*'Benefícios e Outros Dados'!K13)-(0.06*H25),2)</f>
        <v>162.86000000000001</v>
      </c>
      <c r="I55" s="286">
        <f>ROUND((('Benefícios e Outros Dados'!I18*'Benefícios e Outros Dados'!I19)*'Benefícios e Outros Dados'!K13)-(0.06*I25),2)</f>
        <v>160.19999999999999</v>
      </c>
      <c r="J55" s="286">
        <f>ROUND((('Benefícios e Outros Dados'!I20*'Benefícios e Outros Dados'!I21)*'Benefícios e Outros Dados'!K13)-(0.06*J25),2)</f>
        <v>139.19999999999999</v>
      </c>
      <c r="K55" s="286">
        <f>ROUND((('Benefícios e Outros Dados'!I22*'Benefícios e Outros Dados'!I23)*'Benefícios e Outros Dados'!K13)-(0.06*K25),2)</f>
        <v>164.4</v>
      </c>
      <c r="L55" s="44">
        <f>ROUND((('Benefícios e Outros Dados'!I24*'Benefícios e Outros Dados'!I25)*'Benefícios e Outros Dados'!K13)-(0.06*L25),2)</f>
        <v>111.9</v>
      </c>
      <c r="M55" s="44">
        <f>ROUND((('Benefícios e Outros Dados'!I26*'Benefícios e Outros Dados'!I27)*'Benefícios e Outros Dados'!K13)-(0.06*M25),2)</f>
        <v>139.19999999999999</v>
      </c>
      <c r="N55" s="44">
        <f>ROUND((('Benefícios e Outros Dados'!I28*'Benefícios e Outros Dados'!I29)*'Benefícios e Outros Dados'!K13)-(0.06*N25),2)</f>
        <v>139.19999999999999</v>
      </c>
      <c r="O55" s="44">
        <f>ROUND((('Benefícios e Outros Dados'!I30*'Benefícios e Outros Dados'!I31)*'Benefícios e Outros Dados'!K13)-(0.06*O25),2)</f>
        <v>43.16</v>
      </c>
      <c r="P55" s="44">
        <f>IF(('Benefícios e Outros Dados'!I32*'Benefícios e Outros Dados'!I33*'Benefícios e Outros Dados'!K13)&lt;=(0.06*P25),0,ROUND((('Benefícios e Outros Dados'!I32*'Benefícios e Outros Dados'!I33)*'Benefícios e Outros Dados'!K13)-(0.06*P25),2))</f>
        <v>0</v>
      </c>
    </row>
    <row r="56" spans="1:16" ht="19.5" customHeight="1">
      <c r="A56" s="34" t="s">
        <v>223</v>
      </c>
      <c r="B56" s="287" t="s">
        <v>312</v>
      </c>
      <c r="C56" s="288"/>
      <c r="D56" s="288"/>
      <c r="E56" s="288"/>
      <c r="F56" s="288"/>
      <c r="G56" s="272">
        <f>'Benefícios e Outros Dados'!K16</f>
        <v>21.6</v>
      </c>
      <c r="H56" s="272">
        <f>'Benefícios e Outros Dados'!K16</f>
        <v>21.6</v>
      </c>
      <c r="I56" s="272">
        <f>'Benefícios e Outros Dados'!K18</f>
        <v>21.6</v>
      </c>
      <c r="J56" s="272">
        <f>'Benefícios e Outros Dados'!K20</f>
        <v>21.6</v>
      </c>
      <c r="K56" s="272">
        <f>'Benefícios e Outros Dados'!K22</f>
        <v>21.6</v>
      </c>
      <c r="L56" s="272">
        <f>'Benefícios e Outros Dados'!K24</f>
        <v>21.6</v>
      </c>
      <c r="M56" s="44">
        <f>'Benefícios e Outros Dados'!K26</f>
        <v>21.6</v>
      </c>
      <c r="N56" s="44">
        <f>'Benefícios e Outros Dados'!K28</f>
        <v>21.6</v>
      </c>
      <c r="O56" s="44">
        <f>'Benefícios e Outros Dados'!K30</f>
        <v>21.6</v>
      </c>
      <c r="P56" s="44">
        <f>'Benefícios e Outros Dados'!K32</f>
        <v>21.6</v>
      </c>
    </row>
    <row r="57" spans="1:16" ht="19.5" customHeight="1">
      <c r="A57" s="34" t="s">
        <v>225</v>
      </c>
      <c r="B57" s="739" t="s">
        <v>231</v>
      </c>
      <c r="C57" s="740"/>
      <c r="D57" s="740"/>
      <c r="E57" s="740"/>
      <c r="F57" s="740"/>
      <c r="G57" s="453"/>
      <c r="H57" s="453"/>
      <c r="I57" s="453"/>
      <c r="J57" s="453"/>
      <c r="K57" s="453"/>
      <c r="L57" s="453"/>
      <c r="M57" s="453"/>
      <c r="N57" s="453"/>
      <c r="O57" s="453"/>
      <c r="P57" s="453"/>
    </row>
    <row r="58" spans="1:16" ht="19.5" customHeight="1">
      <c r="A58" s="34" t="s">
        <v>226</v>
      </c>
      <c r="B58" s="739" t="s">
        <v>231</v>
      </c>
      <c r="C58" s="740"/>
      <c r="D58" s="740"/>
      <c r="E58" s="740"/>
      <c r="F58" s="740"/>
      <c r="G58" s="453"/>
      <c r="H58" s="453"/>
      <c r="I58" s="453"/>
      <c r="J58" s="453"/>
      <c r="K58" s="453"/>
      <c r="L58" s="453"/>
      <c r="M58" s="453"/>
      <c r="N58" s="453"/>
      <c r="O58" s="453"/>
      <c r="P58" s="453"/>
    </row>
    <row r="59" spans="1:16" ht="19.5" customHeight="1">
      <c r="A59" s="760" t="s">
        <v>249</v>
      </c>
      <c r="B59" s="761"/>
      <c r="C59" s="761"/>
      <c r="D59" s="761"/>
      <c r="E59" s="761"/>
      <c r="F59" s="762"/>
      <c r="G59" s="278">
        <f>ROUND(SUM(G54:G58),2)</f>
        <v>656.96</v>
      </c>
      <c r="H59" s="278">
        <f>ROUND(SUM(H54:H58),2)</f>
        <v>656.96</v>
      </c>
      <c r="I59" s="278">
        <f>ROUND(SUM(I54:I58),2)</f>
        <v>654.29999999999995</v>
      </c>
      <c r="J59" s="278">
        <f>ROUND(SUM(J54:J58),2)</f>
        <v>633.29999999999995</v>
      </c>
      <c r="K59" s="278">
        <f>ROUND(SUM(K54:K58),2)</f>
        <v>658.5</v>
      </c>
      <c r="L59" s="278">
        <f t="shared" ref="L59:P59" si="20">ROUND(SUM(L54:L58),2)</f>
        <v>606</v>
      </c>
      <c r="M59" s="278">
        <f t="shared" si="20"/>
        <v>633.29999999999995</v>
      </c>
      <c r="N59" s="278">
        <f t="shared" si="20"/>
        <v>633.29999999999995</v>
      </c>
      <c r="O59" s="278">
        <f t="shared" si="20"/>
        <v>537.26</v>
      </c>
      <c r="P59" s="278">
        <f t="shared" si="20"/>
        <v>494.1</v>
      </c>
    </row>
    <row r="60" spans="1:16" ht="22" customHeight="1">
      <c r="A60" s="743" t="s">
        <v>250</v>
      </c>
      <c r="B60" s="763"/>
      <c r="C60" s="763"/>
      <c r="D60" s="763"/>
      <c r="E60" s="763"/>
      <c r="F60" s="764"/>
      <c r="G60" s="257">
        <f>ROUND(SUM(G59,G50,G38),2)</f>
        <v>1823.79</v>
      </c>
      <c r="H60" s="257">
        <f>ROUND(SUM(H59,H50,H38),2)</f>
        <v>1948.81</v>
      </c>
      <c r="I60" s="257">
        <f>ROUND(SUM(I59,I50,I38),2)</f>
        <v>1555.93</v>
      </c>
      <c r="J60" s="257">
        <f>ROUND(SUM(J59,J50,J38),2)</f>
        <v>1534.93</v>
      </c>
      <c r="K60" s="257">
        <f>ROUND(SUM(K59,K50,K38),2)</f>
        <v>1560.13</v>
      </c>
      <c r="L60" s="257">
        <f t="shared" ref="L60:P60" si="21">ROUND(SUM(L59,L50,L38),2)</f>
        <v>1507.63</v>
      </c>
      <c r="M60" s="257">
        <f t="shared" si="21"/>
        <v>1534.93</v>
      </c>
      <c r="N60" s="257">
        <f t="shared" si="21"/>
        <v>1534.93</v>
      </c>
      <c r="O60" s="257">
        <f t="shared" si="21"/>
        <v>1704.09</v>
      </c>
      <c r="P60" s="257">
        <f t="shared" si="21"/>
        <v>1660.93</v>
      </c>
    </row>
    <row r="61" spans="1:16" ht="6.75" customHeight="1">
      <c r="A61" s="258"/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60"/>
    </row>
    <row r="62" spans="1:16" s="261" customFormat="1" ht="21.65" customHeight="1">
      <c r="A62" s="559" t="s">
        <v>251</v>
      </c>
      <c r="B62" s="560"/>
      <c r="C62" s="560"/>
      <c r="D62" s="560"/>
      <c r="E62" s="560"/>
      <c r="F62" s="560"/>
      <c r="G62" s="560"/>
      <c r="H62" s="560"/>
      <c r="I62" s="560"/>
      <c r="J62" s="560"/>
      <c r="K62" s="560"/>
      <c r="L62" s="560"/>
      <c r="M62" s="560"/>
      <c r="N62" s="560"/>
      <c r="O62" s="560"/>
      <c r="P62" s="561"/>
    </row>
    <row r="63" spans="1:16" s="261" customFormat="1" ht="43" customHeight="1">
      <c r="A63" s="765"/>
      <c r="B63" s="765"/>
      <c r="C63" s="765"/>
      <c r="D63" s="765"/>
      <c r="E63" s="765"/>
      <c r="F63" s="765"/>
      <c r="G63" s="424" t="s">
        <v>530</v>
      </c>
      <c r="H63" s="424" t="s">
        <v>531</v>
      </c>
      <c r="I63" s="244" t="s">
        <v>524</v>
      </c>
      <c r="J63" s="244" t="s">
        <v>525</v>
      </c>
      <c r="K63" s="245" t="s">
        <v>526</v>
      </c>
      <c r="L63" s="245" t="s">
        <v>527</v>
      </c>
      <c r="M63" s="245" t="s">
        <v>528</v>
      </c>
      <c r="N63" s="245" t="s">
        <v>529</v>
      </c>
      <c r="O63" s="425" t="s">
        <v>532</v>
      </c>
      <c r="P63" s="424" t="s">
        <v>533</v>
      </c>
    </row>
    <row r="64" spans="1:16" s="261" customFormat="1" ht="19.5" customHeight="1">
      <c r="A64" s="766"/>
      <c r="B64" s="766"/>
      <c r="C64" s="766"/>
      <c r="D64" s="766"/>
      <c r="E64" s="766"/>
      <c r="F64" s="766"/>
      <c r="G64" s="426" t="s">
        <v>7</v>
      </c>
      <c r="H64" s="431" t="s">
        <v>7</v>
      </c>
      <c r="I64" s="432" t="s">
        <v>7</v>
      </c>
      <c r="J64" s="432" t="s">
        <v>7</v>
      </c>
      <c r="K64" s="426" t="s">
        <v>7</v>
      </c>
      <c r="L64" s="426" t="s">
        <v>7</v>
      </c>
      <c r="M64" s="426" t="s">
        <v>7</v>
      </c>
      <c r="N64" s="426" t="s">
        <v>7</v>
      </c>
      <c r="O64" s="426" t="s">
        <v>7</v>
      </c>
      <c r="P64" s="426" t="s">
        <v>7</v>
      </c>
    </row>
    <row r="65" spans="1:16" ht="19.5" customHeight="1">
      <c r="A65" s="767" t="s">
        <v>3</v>
      </c>
      <c r="B65" s="792" t="s">
        <v>252</v>
      </c>
      <c r="C65" s="793"/>
      <c r="D65" s="793"/>
      <c r="E65" s="793"/>
      <c r="F65" s="794"/>
      <c r="G65" s="767">
        <f>ROUND(((G30+G36+G37+G103)/12)*(30/30)*$E$66,2)</f>
        <v>13.5</v>
      </c>
      <c r="H65" s="742">
        <f>ROUND(((H30+H36+H37+H103)/12)*(30/30)*$E$66,2)</f>
        <v>14.94</v>
      </c>
      <c r="I65" s="742">
        <f>ROUND(((I30+I36+I37+I103)/12)*(30/30)*$E$66,2)</f>
        <v>10.43</v>
      </c>
      <c r="J65" s="742">
        <f>ROUND(((J30+J36+J37+J103)/12)*(30/30)*$E$66,2)</f>
        <v>10.43</v>
      </c>
      <c r="K65" s="742">
        <f>ROUND(((K30+K36+K37+K103)/12)*(30/30)*$E$66,2)</f>
        <v>10.43</v>
      </c>
      <c r="L65" s="742">
        <f t="shared" ref="L65:P65" si="22">ROUND(((L30+L36+L37+L103)/12)*(30/30)*$E$66,2)</f>
        <v>10.43</v>
      </c>
      <c r="M65" s="742">
        <f t="shared" si="22"/>
        <v>10.43</v>
      </c>
      <c r="N65" s="742">
        <f t="shared" si="22"/>
        <v>10.43</v>
      </c>
      <c r="O65" s="742">
        <f t="shared" si="22"/>
        <v>13.5</v>
      </c>
      <c r="P65" s="742">
        <f t="shared" si="22"/>
        <v>13.5</v>
      </c>
    </row>
    <row r="66" spans="1:16" ht="66.650000000000006" customHeight="1">
      <c r="A66" s="601"/>
      <c r="B66" s="753" t="s">
        <v>515</v>
      </c>
      <c r="C66" s="753"/>
      <c r="D66" s="753"/>
      <c r="E66" s="754">
        <v>5.5500000000000001E-2</v>
      </c>
      <c r="F66" s="754"/>
      <c r="G66" s="601"/>
      <c r="H66" s="742"/>
      <c r="I66" s="742"/>
      <c r="J66" s="742"/>
      <c r="K66" s="742"/>
      <c r="L66" s="742"/>
      <c r="M66" s="742"/>
      <c r="N66" s="742"/>
      <c r="O66" s="742"/>
      <c r="P66" s="742"/>
    </row>
    <row r="67" spans="1:16" ht="19.5" customHeight="1">
      <c r="A67" s="34" t="s">
        <v>4</v>
      </c>
      <c r="B67" s="273" t="s">
        <v>253</v>
      </c>
      <c r="C67" s="274"/>
      <c r="D67" s="274"/>
      <c r="E67" s="274"/>
      <c r="F67" s="274"/>
      <c r="G67" s="272">
        <f>ROUND(G65*0.08,2)</f>
        <v>1.08</v>
      </c>
      <c r="H67" s="272">
        <f>ROUND(H65*0.08,2)</f>
        <v>1.2</v>
      </c>
      <c r="I67" s="272">
        <f>ROUND(I65*0.08,2)</f>
        <v>0.83</v>
      </c>
      <c r="J67" s="272">
        <f>ROUND(J65*0.08,2)</f>
        <v>0.83</v>
      </c>
      <c r="K67" s="272">
        <f>ROUND(K65*0.08,2)</f>
        <v>0.83</v>
      </c>
      <c r="L67" s="272">
        <f t="shared" ref="L67:P67" si="23">ROUND(L65*0.08,2)</f>
        <v>0.83</v>
      </c>
      <c r="M67" s="272">
        <f t="shared" si="23"/>
        <v>0.83</v>
      </c>
      <c r="N67" s="272">
        <f t="shared" si="23"/>
        <v>0.83</v>
      </c>
      <c r="O67" s="272">
        <f t="shared" si="23"/>
        <v>1.08</v>
      </c>
      <c r="P67" s="272">
        <f t="shared" si="23"/>
        <v>1.08</v>
      </c>
    </row>
    <row r="68" spans="1:16" ht="39.5" customHeight="1">
      <c r="A68" s="34" t="s">
        <v>5</v>
      </c>
      <c r="B68" s="753" t="s">
        <v>516</v>
      </c>
      <c r="C68" s="753"/>
      <c r="D68" s="753"/>
      <c r="E68" s="753"/>
      <c r="F68" s="753"/>
      <c r="G68" s="272">
        <f>ROUND((((G30+G36+G37+G103)/30)/12)*7*1,2)</f>
        <v>56.74</v>
      </c>
      <c r="H68" s="272">
        <f>ROUND((((H30+H36+H37+H103)/30)/12)*7*1,2)</f>
        <v>62.82</v>
      </c>
      <c r="I68" s="272">
        <f>ROUND((((I30+I36+I37+I103)/30)/12)*7*1,2)</f>
        <v>43.85</v>
      </c>
      <c r="J68" s="272">
        <f>ROUND((((J30+J36+J37+J103)/30)/12)*7*1,2)</f>
        <v>43.85</v>
      </c>
      <c r="K68" s="272">
        <f>ROUND((((K30+K36+K37+K103)/30)/12)*7*1,2)</f>
        <v>43.85</v>
      </c>
      <c r="L68" s="272">
        <f t="shared" ref="L68:P68" si="24">ROUND((((L30+L36+L37+L103)/30)/12)*7*1,2)</f>
        <v>43.85</v>
      </c>
      <c r="M68" s="272">
        <f t="shared" si="24"/>
        <v>43.85</v>
      </c>
      <c r="N68" s="272">
        <f t="shared" si="24"/>
        <v>43.85</v>
      </c>
      <c r="O68" s="272">
        <f t="shared" si="24"/>
        <v>56.74</v>
      </c>
      <c r="P68" s="272">
        <f t="shared" si="24"/>
        <v>56.74</v>
      </c>
    </row>
    <row r="69" spans="1:16" ht="19.5" customHeight="1">
      <c r="A69" s="34" t="s">
        <v>216</v>
      </c>
      <c r="B69" s="755" t="s">
        <v>254</v>
      </c>
      <c r="C69" s="756"/>
      <c r="D69" s="756"/>
      <c r="E69" s="756"/>
      <c r="F69" s="759"/>
      <c r="G69" s="272">
        <f>ROUND($F$50*G68,2)</f>
        <v>20.88</v>
      </c>
      <c r="H69" s="272">
        <f>ROUND($F$50*H68,2)</f>
        <v>23.12</v>
      </c>
      <c r="I69" s="272">
        <f t="shared" ref="I69:P69" si="25">ROUND($F$50*I68,2)</f>
        <v>16.14</v>
      </c>
      <c r="J69" s="272">
        <f t="shared" si="25"/>
        <v>16.14</v>
      </c>
      <c r="K69" s="272">
        <f t="shared" si="25"/>
        <v>16.14</v>
      </c>
      <c r="L69" s="272">
        <f t="shared" si="25"/>
        <v>16.14</v>
      </c>
      <c r="M69" s="272">
        <f t="shared" si="25"/>
        <v>16.14</v>
      </c>
      <c r="N69" s="272">
        <f t="shared" si="25"/>
        <v>16.14</v>
      </c>
      <c r="O69" s="272">
        <f t="shared" si="25"/>
        <v>20.88</v>
      </c>
      <c r="P69" s="272">
        <f t="shared" si="25"/>
        <v>20.88</v>
      </c>
    </row>
    <row r="70" spans="1:16" ht="19.5" customHeight="1">
      <c r="A70" s="34" t="s">
        <v>218</v>
      </c>
      <c r="B70" s="755" t="s">
        <v>255</v>
      </c>
      <c r="C70" s="756"/>
      <c r="D70" s="756"/>
      <c r="E70" s="756"/>
      <c r="F70" s="759"/>
      <c r="G70" s="272">
        <f>ROUND(0.04*G30,2)</f>
        <v>96.92</v>
      </c>
      <c r="H70" s="272">
        <f>ROUND(0.04*H30,2)</f>
        <v>107.31</v>
      </c>
      <c r="I70" s="272">
        <f>ROUND(0.04*I30,2)</f>
        <v>74.89</v>
      </c>
      <c r="J70" s="272">
        <f>ROUND(0.04*J30,2)</f>
        <v>74.89</v>
      </c>
      <c r="K70" s="272">
        <f>ROUND(0.04*K30,2)</f>
        <v>74.89</v>
      </c>
      <c r="L70" s="272">
        <f t="shared" ref="L70:P70" si="26">ROUND(0.04*L30,2)</f>
        <v>74.89</v>
      </c>
      <c r="M70" s="272">
        <f t="shared" si="26"/>
        <v>74.89</v>
      </c>
      <c r="N70" s="272">
        <f t="shared" si="26"/>
        <v>74.89</v>
      </c>
      <c r="O70" s="272">
        <f t="shared" si="26"/>
        <v>96.92</v>
      </c>
      <c r="P70" s="272">
        <f t="shared" si="26"/>
        <v>96.92</v>
      </c>
    </row>
    <row r="71" spans="1:16" ht="21.75" customHeight="1">
      <c r="A71" s="743" t="s">
        <v>256</v>
      </c>
      <c r="B71" s="763"/>
      <c r="C71" s="763"/>
      <c r="D71" s="763"/>
      <c r="E71" s="763"/>
      <c r="F71" s="764"/>
      <c r="G71" s="257">
        <f>ROUND(SUM(G65:G70),2)</f>
        <v>189.12</v>
      </c>
      <c r="H71" s="257">
        <f>ROUND(SUM(H65:H70),2)</f>
        <v>209.39</v>
      </c>
      <c r="I71" s="257">
        <f>ROUND(SUM(I65:I70),2)</f>
        <v>146.13999999999999</v>
      </c>
      <c r="J71" s="257">
        <f>ROUND(SUM(J65:J70),2)</f>
        <v>146.13999999999999</v>
      </c>
      <c r="K71" s="257">
        <f>ROUND(SUM(K65:K70),2)</f>
        <v>146.13999999999999</v>
      </c>
      <c r="L71" s="257">
        <f t="shared" ref="L71:P71" si="27">ROUND(SUM(L65:L70),2)</f>
        <v>146.13999999999999</v>
      </c>
      <c r="M71" s="257">
        <f t="shared" si="27"/>
        <v>146.13999999999999</v>
      </c>
      <c r="N71" s="257">
        <f t="shared" si="27"/>
        <v>146.13999999999999</v>
      </c>
      <c r="O71" s="257">
        <f t="shared" si="27"/>
        <v>189.12</v>
      </c>
      <c r="P71" s="257">
        <f t="shared" si="27"/>
        <v>189.12</v>
      </c>
    </row>
    <row r="72" spans="1:16" ht="6.75" customHeight="1">
      <c r="A72" s="290"/>
      <c r="B72" s="291"/>
      <c r="C72" s="291"/>
      <c r="D72" s="291"/>
      <c r="E72" s="291"/>
      <c r="F72" s="291"/>
      <c r="G72" s="291"/>
      <c r="H72" s="291"/>
      <c r="I72" s="291"/>
      <c r="J72" s="291"/>
      <c r="K72" s="291"/>
      <c r="L72" s="291"/>
      <c r="M72" s="291"/>
      <c r="N72" s="291"/>
      <c r="O72" s="291"/>
      <c r="P72" s="292"/>
    </row>
    <row r="73" spans="1:16" ht="21.65" customHeight="1">
      <c r="A73" s="559" t="s">
        <v>257</v>
      </c>
      <c r="B73" s="560"/>
      <c r="C73" s="560"/>
      <c r="D73" s="560"/>
      <c r="E73" s="560"/>
      <c r="F73" s="560"/>
      <c r="G73" s="560"/>
      <c r="H73" s="560"/>
      <c r="I73" s="560"/>
      <c r="J73" s="560"/>
      <c r="K73" s="560"/>
      <c r="L73" s="560"/>
      <c r="M73" s="560"/>
      <c r="N73" s="560"/>
      <c r="O73" s="560"/>
      <c r="P73" s="561"/>
    </row>
    <row r="74" spans="1:16" s="261" customFormat="1" ht="45" customHeight="1">
      <c r="A74" s="795"/>
      <c r="B74" s="796"/>
      <c r="C74" s="796"/>
      <c r="D74" s="796"/>
      <c r="E74" s="796"/>
      <c r="F74" s="547"/>
      <c r="G74" s="424" t="s">
        <v>530</v>
      </c>
      <c r="H74" s="424" t="s">
        <v>531</v>
      </c>
      <c r="I74" s="244" t="s">
        <v>524</v>
      </c>
      <c r="J74" s="244" t="s">
        <v>525</v>
      </c>
      <c r="K74" s="245" t="s">
        <v>526</v>
      </c>
      <c r="L74" s="245" t="s">
        <v>527</v>
      </c>
      <c r="M74" s="245" t="s">
        <v>528</v>
      </c>
      <c r="N74" s="245" t="s">
        <v>529</v>
      </c>
      <c r="O74" s="425" t="s">
        <v>532</v>
      </c>
      <c r="P74" s="424" t="s">
        <v>533</v>
      </c>
    </row>
    <row r="75" spans="1:16" ht="19.5" customHeight="1">
      <c r="A75" s="797"/>
      <c r="B75" s="785"/>
      <c r="C75" s="785"/>
      <c r="D75" s="785"/>
      <c r="E75" s="785"/>
      <c r="F75" s="786"/>
      <c r="G75" s="426" t="s">
        <v>7</v>
      </c>
      <c r="H75" s="432" t="s">
        <v>7</v>
      </c>
      <c r="I75" s="432" t="s">
        <v>7</v>
      </c>
      <c r="J75" s="432" t="s">
        <v>7</v>
      </c>
      <c r="K75" s="426" t="s">
        <v>7</v>
      </c>
      <c r="L75" s="426" t="s">
        <v>7</v>
      </c>
      <c r="M75" s="426" t="s">
        <v>7</v>
      </c>
      <c r="N75" s="426" t="s">
        <v>7</v>
      </c>
      <c r="O75" s="426" t="s">
        <v>7</v>
      </c>
      <c r="P75" s="426" t="s">
        <v>7</v>
      </c>
    </row>
    <row r="76" spans="1:16" ht="48" customHeight="1">
      <c r="A76" s="767" t="s">
        <v>3</v>
      </c>
      <c r="B76" s="790" t="s">
        <v>258</v>
      </c>
      <c r="C76" s="243" t="s">
        <v>259</v>
      </c>
      <c r="D76" s="50" t="s">
        <v>348</v>
      </c>
      <c r="E76" s="243" t="s">
        <v>260</v>
      </c>
      <c r="F76" s="50" t="s">
        <v>517</v>
      </c>
      <c r="G76" s="777">
        <f>ROUND(((($G$30+$G$60-$G$54-$G$55+$G$71)/30)*F77)/$E$19,2)</f>
        <v>10.56</v>
      </c>
      <c r="H76" s="782">
        <f>ROUND(((($H$30+$H$60-$H$54-$H$55+$H$71)/30)*F77)/$E$19,2)</f>
        <v>11.68</v>
      </c>
      <c r="I76" s="782">
        <f>ROUND(((($I$30+$I$60-$I$54-$I$55+$I$71)/30)*F77)/$E$19,2)</f>
        <v>8.17</v>
      </c>
      <c r="J76" s="782">
        <f>ROUND(((($J$30+$J$60-$J$54-$J$55+$J$71)/30)*F77)/$E$19,2)</f>
        <v>8.17</v>
      </c>
      <c r="K76" s="782">
        <f>ROUND(((($K$30+$K$60-$K$54-$K$55+$K$71)/30)*F77)/$E$19,2)</f>
        <v>8.17</v>
      </c>
      <c r="L76" s="742">
        <f>ROUND(((($L$30+$L$60-$L$54-$L$55+$L$71)/30)*F77)/$E$19,2)</f>
        <v>8.17</v>
      </c>
      <c r="M76" s="732">
        <f>ROUND(((($M$30+$M$60-$M$54-$M$55+$M$71)/30)*F77)/$E$19,2)</f>
        <v>8.17</v>
      </c>
      <c r="N76" s="732">
        <f>ROUND(((($N$30+$N$60-$N$54-$N$55+$N$71)/30)*F77)/$E$19,2)</f>
        <v>8.17</v>
      </c>
      <c r="O76" s="732">
        <f>ROUND(((($O$30+$O$60-$O$54-$O$55+$O$71)/30)*F77)/$E$19,2)</f>
        <v>10.56</v>
      </c>
      <c r="P76" s="732">
        <f>ROUND(((($P$30+$P$60-$P$54-$P$55+$P$71)/30)*F77)/$E$19,2)</f>
        <v>10.56</v>
      </c>
    </row>
    <row r="77" spans="1:16" ht="19.5" customHeight="1">
      <c r="A77" s="601"/>
      <c r="B77" s="791"/>
      <c r="C77" s="456">
        <v>1</v>
      </c>
      <c r="D77" s="243">
        <f>ROUND((1*E19)/12,2)</f>
        <v>5</v>
      </c>
      <c r="E77" s="294">
        <v>1</v>
      </c>
      <c r="F77" s="243">
        <f>C77*D77*E77</f>
        <v>5</v>
      </c>
      <c r="G77" s="778"/>
      <c r="H77" s="783"/>
      <c r="I77" s="783"/>
      <c r="J77" s="783"/>
      <c r="K77" s="783"/>
      <c r="L77" s="742"/>
      <c r="M77" s="732"/>
      <c r="N77" s="732"/>
      <c r="O77" s="732"/>
      <c r="P77" s="732"/>
    </row>
    <row r="78" spans="1:16" ht="46.5" customHeight="1">
      <c r="A78" s="767" t="s">
        <v>4</v>
      </c>
      <c r="B78" s="790" t="s">
        <v>261</v>
      </c>
      <c r="C78" s="243" t="s">
        <v>259</v>
      </c>
      <c r="D78" s="50" t="s">
        <v>348</v>
      </c>
      <c r="E78" s="243" t="s">
        <v>260</v>
      </c>
      <c r="F78" s="50" t="s">
        <v>517</v>
      </c>
      <c r="G78" s="777">
        <f t="shared" ref="G78" si="28">ROUND(((($G$30+$G$60-$G$54-$G$55+$G$71)/30)*F79)/$E$19,2)</f>
        <v>10.08</v>
      </c>
      <c r="H78" s="782">
        <f t="shared" ref="H78" si="29">ROUND(((($H$30+$H$60-$H$54-$H$55+$H$71)/30)*F79)/$E$19,2)</f>
        <v>11.15</v>
      </c>
      <c r="I78" s="782">
        <f t="shared" ref="I78" si="30">ROUND(((($I$30+$I$60-$I$54-$I$55+$I$71)/30)*F79)/$E$19,2)</f>
        <v>7.8</v>
      </c>
      <c r="J78" s="782">
        <f t="shared" ref="J78" si="31">ROUND(((($J$30+$J$60-$J$54-$J$55+$J$71)/30)*F79)/$E$19,2)</f>
        <v>7.8</v>
      </c>
      <c r="K78" s="782">
        <f t="shared" ref="K78" si="32">ROUND(((($K$30+$K$60-$K$54-$K$55+$K$71)/30)*F79)/$E$19,2)</f>
        <v>7.8</v>
      </c>
      <c r="L78" s="742">
        <f t="shared" ref="L78" si="33">ROUND(((($L$30+$L$60-$L$54-$L$55+$L$71)/30)*F79)/$E$19,2)</f>
        <v>7.8</v>
      </c>
      <c r="M78" s="732">
        <f t="shared" ref="M78" si="34">ROUND(((($M$30+$M$60-$M$54-$M$55+$M$71)/30)*F79)/$E$19,2)</f>
        <v>7.8</v>
      </c>
      <c r="N78" s="732">
        <f t="shared" ref="N78" si="35">ROUND(((($N$30+$N$60-$N$54-$N$55+$N$71)/30)*F79)/$E$19,2)</f>
        <v>7.8</v>
      </c>
      <c r="O78" s="732">
        <f t="shared" ref="O78" si="36">ROUND(((($O$30+$O$60-$O$54-$O$55+$O$71)/30)*F79)/$E$19,2)</f>
        <v>10.08</v>
      </c>
      <c r="P78" s="732">
        <f t="shared" ref="P78" si="37">ROUND(((($P$30+$P$60-$P$54-$P$55+$P$71)/30)*F79)/$E$19,2)</f>
        <v>10.08</v>
      </c>
    </row>
    <row r="79" spans="1:16" ht="19.5" customHeight="1">
      <c r="A79" s="601"/>
      <c r="B79" s="791"/>
      <c r="C79" s="456">
        <v>9.2200000000000004E-2</v>
      </c>
      <c r="D79" s="243">
        <f>ROUND((15*E19)/12,2)</f>
        <v>75</v>
      </c>
      <c r="E79" s="294">
        <f>ROUND((252/365),4)</f>
        <v>0.69040000000000001</v>
      </c>
      <c r="F79" s="243">
        <f>ROUND(C79*D79*E79,4)</f>
        <v>4.7740999999999998</v>
      </c>
      <c r="G79" s="778"/>
      <c r="H79" s="783"/>
      <c r="I79" s="783"/>
      <c r="J79" s="783"/>
      <c r="K79" s="783"/>
      <c r="L79" s="742"/>
      <c r="M79" s="732"/>
      <c r="N79" s="732"/>
      <c r="O79" s="732"/>
      <c r="P79" s="732"/>
    </row>
    <row r="80" spans="1:16" ht="46" customHeight="1">
      <c r="A80" s="767" t="s">
        <v>5</v>
      </c>
      <c r="B80" s="790" t="s">
        <v>262</v>
      </c>
      <c r="C80" s="243" t="s">
        <v>259</v>
      </c>
      <c r="D80" s="50" t="s">
        <v>348</v>
      </c>
      <c r="E80" s="243" t="s">
        <v>260</v>
      </c>
      <c r="F80" s="50" t="s">
        <v>517</v>
      </c>
      <c r="G80" s="777">
        <f t="shared" ref="G80" si="38">ROUND(((($G$30+$G$60-$G$54-$G$55+$G$71)/30)*F81)/$E$19,2)</f>
        <v>36.44</v>
      </c>
      <c r="H80" s="782">
        <f t="shared" ref="H80" si="39">ROUND(((($H$30+$H$60-$H$54-$H$55+$H$71)/30)*F81)/$E$19,2)</f>
        <v>40.33</v>
      </c>
      <c r="I80" s="782">
        <f t="shared" ref="I80" si="40">ROUND(((($I$30+$I$60-$I$54-$I$55+$I$71)/30)*F81)/$E$19,2)</f>
        <v>28.21</v>
      </c>
      <c r="J80" s="782">
        <f t="shared" ref="J80" si="41">ROUND(((($J$30+$J$60-$J$54-$J$55+$J$71)/30)*F81)/$E$19,2)</f>
        <v>28.21</v>
      </c>
      <c r="K80" s="782">
        <f t="shared" ref="K80" si="42">ROUND(((($K$30+$K$60-$K$54-$K$55+$K$71)/30)*F81)/$E$19,2)</f>
        <v>28.21</v>
      </c>
      <c r="L80" s="742">
        <f t="shared" ref="L80" si="43">ROUND(((($L$30+$L$60-$L$54-$L$55+$L$71)/30)*F81)/$E$19,2)</f>
        <v>28.21</v>
      </c>
      <c r="M80" s="732">
        <f t="shared" ref="M80" si="44">ROUND(((($M$30+$M$60-$M$54-$M$55+$M$71)/30)*F81)/$E$19,2)</f>
        <v>28.21</v>
      </c>
      <c r="N80" s="732">
        <f t="shared" ref="N80" si="45">ROUND(((($N$30+$N$60-$N$54-$N$55+$N$71)/30)*F81)/$E$19,2)</f>
        <v>28.21</v>
      </c>
      <c r="O80" s="732">
        <f t="shared" ref="O80" si="46">ROUND(((($O$30+$O$60-$O$54-$O$55+$O$71)/30)*F81)/$E$19,2)</f>
        <v>36.44</v>
      </c>
      <c r="P80" s="732">
        <f t="shared" ref="P80" si="47">ROUND(((($P$30+$P$60-$P$54-$P$55+$P$71)/30)*F81)/$E$19,2)</f>
        <v>36.44</v>
      </c>
    </row>
    <row r="81" spans="1:16" ht="19.5" customHeight="1">
      <c r="A81" s="601"/>
      <c r="B81" s="791"/>
      <c r="C81" s="456">
        <v>1</v>
      </c>
      <c r="D81" s="243">
        <f>ROUND((5*E19)/12,2)</f>
        <v>25</v>
      </c>
      <c r="E81" s="294">
        <f>ROUND((252/365),4)</f>
        <v>0.69040000000000001</v>
      </c>
      <c r="F81" s="243">
        <f>ROUND(C81*D81*E81,4)</f>
        <v>17.260000000000002</v>
      </c>
      <c r="G81" s="778"/>
      <c r="H81" s="783"/>
      <c r="I81" s="783"/>
      <c r="J81" s="783"/>
      <c r="K81" s="783"/>
      <c r="L81" s="742"/>
      <c r="M81" s="732"/>
      <c r="N81" s="732"/>
      <c r="O81" s="732"/>
      <c r="P81" s="732"/>
    </row>
    <row r="82" spans="1:16" ht="46" customHeight="1">
      <c r="A82" s="767" t="s">
        <v>216</v>
      </c>
      <c r="B82" s="790" t="s">
        <v>263</v>
      </c>
      <c r="C82" s="243" t="s">
        <v>259</v>
      </c>
      <c r="D82" s="50" t="s">
        <v>348</v>
      </c>
      <c r="E82" s="243" t="s">
        <v>260</v>
      </c>
      <c r="F82" s="50" t="s">
        <v>517</v>
      </c>
      <c r="G82" s="777">
        <f t="shared" ref="G82" si="48">ROUND(((($G$30+$G$60-$G$54-$G$55+$G$71)/30)*F83)/$E$19,2)</f>
        <v>2.84</v>
      </c>
      <c r="H82" s="782">
        <f t="shared" ref="H82" si="49">ROUND(((($H$30+$H$60-$H$54-$H$55+$H$71)/30)*F83)/$E$19,2)</f>
        <v>3.14</v>
      </c>
      <c r="I82" s="782">
        <f t="shared" ref="I82" si="50">ROUND(((($I$30+$I$60-$I$54-$I$55+$I$71)/30)*F83)/$E$19,2)</f>
        <v>2.2000000000000002</v>
      </c>
      <c r="J82" s="782">
        <f t="shared" ref="J82" si="51">ROUND(((($J$30+$J$60-$J$54-$J$55+$J$71)/30)*F83)/$E$19,2)</f>
        <v>2.2000000000000002</v>
      </c>
      <c r="K82" s="782">
        <f t="shared" ref="K82" si="52">ROUND(((($K$30+$K$60-$K$54-$K$55+$K$71)/30)*F83)/$E$19,2)</f>
        <v>2.2000000000000002</v>
      </c>
      <c r="L82" s="742">
        <f t="shared" ref="L82" si="53">ROUND(((($L$30+$L$60-$L$54-$L$55+$L$71)/30)*F83)/$E$19,2)</f>
        <v>2.2000000000000002</v>
      </c>
      <c r="M82" s="732">
        <f t="shared" ref="M82" si="54">ROUND(((($M$30+$M$60-$M$54-$M$55+$M$71)/30)*F83)/$E$19,2)</f>
        <v>2.2000000000000002</v>
      </c>
      <c r="N82" s="732">
        <f t="shared" ref="N82" si="55">ROUND(((($N$30+$N$60-$N$54-$N$55+$N$71)/30)*F83)/$E$19,2)</f>
        <v>2.2000000000000002</v>
      </c>
      <c r="O82" s="732">
        <f t="shared" ref="O82" si="56">ROUND(((($O$30+$O$60-$O$54-$O$55+$O$71)/30)*F83)/$E$19,2)</f>
        <v>2.84</v>
      </c>
      <c r="P82" s="732">
        <f t="shared" ref="P82" si="57">ROUND(((($P$30+$P$60-$P$54-$P$55+$P$71)/30)*F83)/$E$19,2)</f>
        <v>2.84</v>
      </c>
    </row>
    <row r="83" spans="1:16" ht="19.5" customHeight="1">
      <c r="A83" s="601"/>
      <c r="B83" s="791"/>
      <c r="C83" s="457">
        <v>0.13439999999999999</v>
      </c>
      <c r="D83" s="243">
        <f>ROUND((2*E19)/12,2)</f>
        <v>10</v>
      </c>
      <c r="E83" s="294">
        <v>1</v>
      </c>
      <c r="F83" s="243">
        <f>ROUND(C83*D83*E83,4)</f>
        <v>1.3440000000000001</v>
      </c>
      <c r="G83" s="778"/>
      <c r="H83" s="783"/>
      <c r="I83" s="783"/>
      <c r="J83" s="783"/>
      <c r="K83" s="783"/>
      <c r="L83" s="742"/>
      <c r="M83" s="732"/>
      <c r="N83" s="732"/>
      <c r="O83" s="732"/>
      <c r="P83" s="732"/>
    </row>
    <row r="84" spans="1:16" ht="47.5" customHeight="1">
      <c r="A84" s="767" t="s">
        <v>216</v>
      </c>
      <c r="B84" s="790" t="s">
        <v>264</v>
      </c>
      <c r="C84" s="243" t="s">
        <v>259</v>
      </c>
      <c r="D84" s="50" t="s">
        <v>348</v>
      </c>
      <c r="E84" s="243" t="s">
        <v>260</v>
      </c>
      <c r="F84" s="50" t="s">
        <v>517</v>
      </c>
      <c r="G84" s="777">
        <f t="shared" ref="G84" si="58">ROUND(((($G$30+$G$60-$G$54-$G$55+$G$71)/30)*F85)/$E$19,2)</f>
        <v>0.44</v>
      </c>
      <c r="H84" s="782">
        <f t="shared" ref="H84" si="59">ROUND(((($H$30+$H$60-$H$54-$H$55+$H$71)/30)*F85)/$E$19,2)</f>
        <v>0.49</v>
      </c>
      <c r="I84" s="782">
        <f t="shared" ref="I84" si="60">ROUND(((($I$30+$I$60-$I$54-$I$55+$I$71)/30)*F85)/$E$19,2)</f>
        <v>0.34</v>
      </c>
      <c r="J84" s="782">
        <f t="shared" ref="J84" si="61">ROUND(((($J$30+$J$60-$J$54-$J$55+$J$71)/30)*F85)/$E$19,2)</f>
        <v>0.34</v>
      </c>
      <c r="K84" s="782">
        <f t="shared" ref="K84" si="62">ROUND(((($K$30+$K$60-$K$54-$K$55+$K$71)/30)*F85)/$E$19,2)</f>
        <v>0.34</v>
      </c>
      <c r="L84" s="742">
        <f t="shared" ref="L84" si="63">ROUND(((($L$30+$L$60-$L$54-$L$55+$L$71)/30)*F85)/$E$19,2)</f>
        <v>0.34</v>
      </c>
      <c r="M84" s="732">
        <f t="shared" ref="M84" si="64">ROUND(((($M$30+$M$60-$M$54-$M$55+$M$71)/30)*F85)/$E$19,2)</f>
        <v>0.34</v>
      </c>
      <c r="N84" s="732">
        <f t="shared" ref="N84" si="65">ROUND(((($N$30+$N$60-$N$54-$N$55+$N$71)/30)*F85)/$E$19,2)</f>
        <v>0.34</v>
      </c>
      <c r="O84" s="732">
        <f t="shared" ref="O84" si="66">ROUND(((($O$30+$O$60-$O$54-$O$55+$O$71)/30)*F85)/$E$19,2)</f>
        <v>0.44</v>
      </c>
      <c r="P84" s="732">
        <f t="shared" ref="P84" si="67">ROUND(((($P$30+$P$60-$P$54-$P$55+$P$71)/30)*F85)/$E$19,2)</f>
        <v>0.44</v>
      </c>
    </row>
    <row r="85" spans="1:16" ht="19.5" customHeight="1">
      <c r="A85" s="601"/>
      <c r="B85" s="791"/>
      <c r="C85" s="457">
        <v>3.0499999999999999E-2</v>
      </c>
      <c r="D85" s="243">
        <f>ROUND((2*E19)/12,2)</f>
        <v>10</v>
      </c>
      <c r="E85" s="294">
        <f>ROUND((252/365),4)</f>
        <v>0.69040000000000001</v>
      </c>
      <c r="F85" s="243">
        <f>ROUND(C85*D85*E85,4)</f>
        <v>0.21060000000000001</v>
      </c>
      <c r="G85" s="778"/>
      <c r="H85" s="783"/>
      <c r="I85" s="783"/>
      <c r="J85" s="783"/>
      <c r="K85" s="783"/>
      <c r="L85" s="742"/>
      <c r="M85" s="732"/>
      <c r="N85" s="732"/>
      <c r="O85" s="732"/>
      <c r="P85" s="732"/>
    </row>
    <row r="86" spans="1:16" ht="45" customHeight="1">
      <c r="A86" s="767" t="s">
        <v>221</v>
      </c>
      <c r="B86" s="790" t="s">
        <v>265</v>
      </c>
      <c r="C86" s="243" t="s">
        <v>259</v>
      </c>
      <c r="D86" s="50" t="s">
        <v>348</v>
      </c>
      <c r="E86" s="243" t="s">
        <v>260</v>
      </c>
      <c r="F86" s="50" t="s">
        <v>517</v>
      </c>
      <c r="G86" s="777">
        <f t="shared" ref="G86" si="68">ROUND(((($G$30+$G$60-$G$54-$G$55+$G$71)/30)*F87)/$E$19,2)</f>
        <v>0.37</v>
      </c>
      <c r="H86" s="782">
        <f t="shared" ref="H86" si="69">ROUND(((($H$30+$H$60-$H$54-$H$55+$H$71)/30)*F87)/$E$19,2)</f>
        <v>0.41</v>
      </c>
      <c r="I86" s="782">
        <f t="shared" ref="I86" si="70">ROUND(((($I$30+$I$60-$I$54-$I$55+$I$71)/30)*F87)/$E$19,2)</f>
        <v>0.28999999999999998</v>
      </c>
      <c r="J86" s="782">
        <f t="shared" ref="J86" si="71">ROUND(((($J$30+$J$60-$J$54-$J$55+$J$71)/30)*F87)/$E$19,2)</f>
        <v>0.28999999999999998</v>
      </c>
      <c r="K86" s="782">
        <f t="shared" ref="K86" si="72">ROUND(((($K$30+$K$60-$K$54-$K$55+$K$71)/30)*F87)/$E$19,2)</f>
        <v>0.28999999999999998</v>
      </c>
      <c r="L86" s="742">
        <f t="shared" ref="L86" si="73">ROUND(((($L$30+$L$60-$L$54-$L$55+$L$71)/30)*F87)/$E$19,2)</f>
        <v>0.28999999999999998</v>
      </c>
      <c r="M86" s="732">
        <f t="shared" ref="M86" si="74">ROUND(((($M$30+$M$60-$M$54-$M$55+$M$71)/30)*F87)/$E$19,2)</f>
        <v>0.28999999999999998</v>
      </c>
      <c r="N86" s="732">
        <f t="shared" ref="N86" si="75">ROUND(((($N$30+$N$60-$N$54-$N$55+$N$71)/30)*F87)/$E$19,2)</f>
        <v>0.28999999999999998</v>
      </c>
      <c r="O86" s="732">
        <f t="shared" ref="O86" si="76">ROUND(((($O$30+$O$60-$O$54-$O$55+$O$71)/30)*F87)/$E$19,2)</f>
        <v>0.37</v>
      </c>
      <c r="P86" s="732">
        <f t="shared" ref="P86" si="77">ROUND(((($P$30+$P$60-$P$54-$P$55+$P$71)/30)*F87)/$E$19,2)</f>
        <v>0.37</v>
      </c>
    </row>
    <row r="87" spans="1:16" ht="19.5" customHeight="1">
      <c r="A87" s="601"/>
      <c r="B87" s="791"/>
      <c r="C87" s="457">
        <v>1.18E-2</v>
      </c>
      <c r="D87" s="243">
        <f>ROUND((3*E19)/12,2)</f>
        <v>15</v>
      </c>
      <c r="E87" s="294">
        <v>1</v>
      </c>
      <c r="F87" s="243">
        <f>ROUND(C87*D87*E87,4)</f>
        <v>0.17699999999999999</v>
      </c>
      <c r="G87" s="778"/>
      <c r="H87" s="783"/>
      <c r="I87" s="783"/>
      <c r="J87" s="783"/>
      <c r="K87" s="783"/>
      <c r="L87" s="742"/>
      <c r="M87" s="732"/>
      <c r="N87" s="732"/>
      <c r="O87" s="732"/>
      <c r="P87" s="732"/>
    </row>
    <row r="88" spans="1:16" ht="44.5" customHeight="1">
      <c r="A88" s="767" t="s">
        <v>223</v>
      </c>
      <c r="B88" s="790" t="s">
        <v>266</v>
      </c>
      <c r="C88" s="243" t="s">
        <v>259</v>
      </c>
      <c r="D88" s="50" t="s">
        <v>348</v>
      </c>
      <c r="E88" s="243" t="s">
        <v>260</v>
      </c>
      <c r="F88" s="50" t="s">
        <v>517</v>
      </c>
      <c r="G88" s="777">
        <f t="shared" ref="G88" si="78">ROUND(((($G$30+$G$60-$G$54-$G$55+$G$71)/30)*F89)/$E$19,2)</f>
        <v>0.21</v>
      </c>
      <c r="H88" s="782">
        <f t="shared" ref="H88" si="79">ROUND(((($H$30+$H$60-$H$54-$H$55+$H$71)/30)*F89)/$E$19,2)</f>
        <v>0.23</v>
      </c>
      <c r="I88" s="782">
        <f t="shared" ref="I88" si="80">ROUND(((($I$30+$I$60-$I$54-$I$55+$I$71)/30)*F89)/$E$19,2)</f>
        <v>0.16</v>
      </c>
      <c r="J88" s="782">
        <f t="shared" ref="J88" si="81">ROUND(((($J$30+$J$60-$J$54-$J$55+$J$71)/30)*F89)/$E$19,2)</f>
        <v>0.16</v>
      </c>
      <c r="K88" s="782">
        <f t="shared" ref="K88" si="82">ROUND(((($K$30+$K$60-$K$54-$K$55+$K$71)/30)*F89)/$E$19,2)</f>
        <v>0.16</v>
      </c>
      <c r="L88" s="742">
        <f t="shared" ref="L88" si="83">ROUND(((($L$30+$L$60-$L$54-$L$55+$L$71)/30)*F89)/$E$19,2)</f>
        <v>0.16</v>
      </c>
      <c r="M88" s="732">
        <f t="shared" ref="M88" si="84">ROUND(((($M$30+$M$60-$M$54-$M$55+$M$71)/30)*F89)/$E$19,2)</f>
        <v>0.16</v>
      </c>
      <c r="N88" s="732">
        <f t="shared" ref="N88" si="85">ROUND(((($N$30+$N$60-$N$54-$N$55+$N$71)/30)*F89)/$E$19,2)</f>
        <v>0.16</v>
      </c>
      <c r="O88" s="732">
        <f t="shared" ref="O88" si="86">ROUND(((($O$30+$O$60-$O$54-$O$55+$O$71)/30)*F89)/$E$19,2)</f>
        <v>0.21</v>
      </c>
      <c r="P88" s="732">
        <f t="shared" ref="P88" si="87">ROUND(((($P$30+$P$60-$P$54-$P$55+$P$71)/30)*F89)/$E$19,2)</f>
        <v>0.21</v>
      </c>
    </row>
    <row r="89" spans="1:16" ht="19.5" customHeight="1">
      <c r="A89" s="601"/>
      <c r="B89" s="791"/>
      <c r="C89" s="457">
        <v>0.02</v>
      </c>
      <c r="D89" s="243">
        <f>ROUND((1*E19)/12,2)</f>
        <v>5</v>
      </c>
      <c r="E89" s="294">
        <v>1</v>
      </c>
      <c r="F89" s="243">
        <f>ROUND(C89*D89*E89,4)</f>
        <v>0.1</v>
      </c>
      <c r="G89" s="778"/>
      <c r="H89" s="783"/>
      <c r="I89" s="783"/>
      <c r="J89" s="783"/>
      <c r="K89" s="783"/>
      <c r="L89" s="742"/>
      <c r="M89" s="732"/>
      <c r="N89" s="732"/>
      <c r="O89" s="732"/>
      <c r="P89" s="732"/>
    </row>
    <row r="90" spans="1:16" ht="46.5" customHeight="1">
      <c r="A90" s="767" t="s">
        <v>225</v>
      </c>
      <c r="B90" s="790" t="s">
        <v>267</v>
      </c>
      <c r="C90" s="243" t="s">
        <v>259</v>
      </c>
      <c r="D90" s="50" t="s">
        <v>348</v>
      </c>
      <c r="E90" s="243" t="s">
        <v>260</v>
      </c>
      <c r="F90" s="50" t="s">
        <v>517</v>
      </c>
      <c r="G90" s="777">
        <f t="shared" ref="G90" si="88">ROUND(((($G$30+$G$60-$G$54-$G$55+$G$71)/30)*F91)/$E$19,2)</f>
        <v>0.04</v>
      </c>
      <c r="H90" s="782">
        <f t="shared" ref="H90" si="89">ROUND(((($H$30+$H$60-$H$54-$H$55+$H$71)/30)*F91)/$E$19,2)</f>
        <v>0.05</v>
      </c>
      <c r="I90" s="782">
        <f t="shared" ref="I90" si="90">ROUND(((($I$30+$I$60-$I$54-$I$55+$I$71)/30)*F91)/$E$19,2)</f>
        <v>0.03</v>
      </c>
      <c r="J90" s="782">
        <f t="shared" ref="J90" si="91">ROUND(((($J$30+$J$60-$J$54-$J$55+$J$71)/30)*F91)/$E$19,2)</f>
        <v>0.03</v>
      </c>
      <c r="K90" s="782">
        <f t="shared" ref="K90" si="92">ROUND(((($K$30+$K$60-$K$54-$K$55+$K$71)/30)*F91)/$E$19,2)</f>
        <v>0.03</v>
      </c>
      <c r="L90" s="742">
        <f t="shared" ref="L90" si="93">ROUND(((($L$30+$L$60-$L$54-$L$55+$L$71)/30)*F91)/$E$19,2)</f>
        <v>0.03</v>
      </c>
      <c r="M90" s="732">
        <f t="shared" ref="M90" si="94">ROUND(((($M$30+$M$60-$M$54-$M$55+$M$71)/30)*F91)/$E$19,2)</f>
        <v>0.03</v>
      </c>
      <c r="N90" s="732">
        <f t="shared" ref="N90" si="95">ROUND(((($N$30+$N$60-$N$54-$N$55+$N$71)/30)*F91)/$E$19,2)</f>
        <v>0.03</v>
      </c>
      <c r="O90" s="732">
        <f t="shared" ref="O90" si="96">ROUND(((($O$30+$O$60-$O$54-$O$55+$O$71)/30)*F91)/$E$19,2)</f>
        <v>0.04</v>
      </c>
      <c r="P90" s="732">
        <f t="shared" ref="P90" si="97">ROUND(((($P$30+$P$60-$P$54-$P$55+$P$71)/30)*F91)/$E$19,2)</f>
        <v>0.04</v>
      </c>
    </row>
    <row r="91" spans="1:16" ht="19.5" customHeight="1">
      <c r="A91" s="601"/>
      <c r="B91" s="791"/>
      <c r="C91" s="457">
        <v>4.0000000000000001E-3</v>
      </c>
      <c r="D91" s="243">
        <f>ROUND((1*E19)/12,2)</f>
        <v>5</v>
      </c>
      <c r="E91" s="294">
        <v>1</v>
      </c>
      <c r="F91" s="243">
        <f>ROUND(C91*D91*E91,4)</f>
        <v>0.02</v>
      </c>
      <c r="G91" s="778"/>
      <c r="H91" s="783"/>
      <c r="I91" s="783"/>
      <c r="J91" s="783"/>
      <c r="K91" s="783"/>
      <c r="L91" s="742"/>
      <c r="M91" s="732"/>
      <c r="N91" s="732"/>
      <c r="O91" s="732"/>
      <c r="P91" s="732"/>
    </row>
    <row r="92" spans="1:16" ht="47" customHeight="1">
      <c r="A92" s="767" t="s">
        <v>226</v>
      </c>
      <c r="B92" s="790" t="s">
        <v>268</v>
      </c>
      <c r="C92" s="243" t="s">
        <v>259</v>
      </c>
      <c r="D92" s="50" t="s">
        <v>348</v>
      </c>
      <c r="E92" s="243" t="s">
        <v>260</v>
      </c>
      <c r="F92" s="50" t="s">
        <v>517</v>
      </c>
      <c r="G92" s="777">
        <f t="shared" ref="G92" si="98">ROUND(((($G$30+$G$60-$G$54-$G$55+$G$71)/30)*F93)/$E$19,2)</f>
        <v>0.52</v>
      </c>
      <c r="H92" s="782">
        <f t="shared" ref="H92" si="99">ROUND(((($H$30+$H$60-$H$54-$H$55+$H$71)/30)*F93)/$E$19,2)</f>
        <v>0.57999999999999996</v>
      </c>
      <c r="I92" s="782">
        <f t="shared" ref="I92" si="100">ROUND(((($I$30+$I$60-$I$54-$I$55+$I$71)/30)*F93)/$E$19,2)</f>
        <v>0.4</v>
      </c>
      <c r="J92" s="782">
        <f t="shared" ref="J92" si="101">ROUND(((($J$30+$J$60-$J$54-$J$55+$J$71)/30)*F93)/$E$19,2)</f>
        <v>0.4</v>
      </c>
      <c r="K92" s="782">
        <f t="shared" ref="K92" si="102">ROUND(((($K$30+$K$60-$K$54-$K$55+$K$71)/30)*F93)/$E$19,2)</f>
        <v>0.4</v>
      </c>
      <c r="L92" s="742">
        <f t="shared" ref="L92" si="103">ROUND(((($L$30+$L$60-$L$54-$L$55+$L$71)/30)*F93)/$E$19,2)</f>
        <v>0.4</v>
      </c>
      <c r="M92" s="732">
        <f t="shared" ref="M92" si="104">ROUND(((($M$30+$M$60-$M$54-$M$55+$M$71)/30)*F93)/$E$19,2)</f>
        <v>0.4</v>
      </c>
      <c r="N92" s="732">
        <f t="shared" ref="N92" si="105">ROUND(((($N$30+$N$60-$N$54-$N$55+$N$71)/30)*F93)/$E$19,2)</f>
        <v>0.4</v>
      </c>
      <c r="O92" s="732">
        <f t="shared" ref="O92" si="106">ROUND(((($O$30+$O$60-$O$54-$O$55+$O$71)/30)*F93)/$E$19,2)</f>
        <v>0.52</v>
      </c>
      <c r="P92" s="732">
        <f t="shared" ref="P92" si="107">ROUND(((($P$30+$P$60-$P$54-$P$55+$P$71)/30)*F93)/$E$19,2)</f>
        <v>0.52</v>
      </c>
    </row>
    <row r="93" spans="1:16" ht="19.5" customHeight="1">
      <c r="A93" s="601"/>
      <c r="B93" s="791"/>
      <c r="C93" s="456">
        <v>1.43E-2</v>
      </c>
      <c r="D93" s="243">
        <f>ROUND((5*E19)/12,2)</f>
        <v>25</v>
      </c>
      <c r="E93" s="294">
        <f>ROUND((252/365),4)</f>
        <v>0.69040000000000001</v>
      </c>
      <c r="F93" s="243">
        <f>ROUND(C93*D93*E93,4)</f>
        <v>0.24679999999999999</v>
      </c>
      <c r="G93" s="778"/>
      <c r="H93" s="783"/>
      <c r="I93" s="783"/>
      <c r="J93" s="783"/>
      <c r="K93" s="783"/>
      <c r="L93" s="742"/>
      <c r="M93" s="732"/>
      <c r="N93" s="732"/>
      <c r="O93" s="732"/>
      <c r="P93" s="732"/>
    </row>
    <row r="94" spans="1:16" ht="46.5" customHeight="1">
      <c r="A94" s="767" t="s">
        <v>269</v>
      </c>
      <c r="B94" s="790" t="s">
        <v>270</v>
      </c>
      <c r="C94" s="243" t="s">
        <v>259</v>
      </c>
      <c r="D94" s="50" t="s">
        <v>348</v>
      </c>
      <c r="E94" s="243" t="s">
        <v>260</v>
      </c>
      <c r="F94" s="50" t="s">
        <v>517</v>
      </c>
      <c r="G94" s="777">
        <f t="shared" ref="G94" si="108">ROUND(((($G$30+$G$60-$G$54-$G$55+$G$71)/30)*F95)/$E$19,2)</f>
        <v>17.23</v>
      </c>
      <c r="H94" s="782">
        <f t="shared" ref="H94" si="109">ROUND(((($H$30+$H$60-$H$54-$H$55+$H$71)/30)*F95)/$E$19,2)</f>
        <v>19.07</v>
      </c>
      <c r="I94" s="782">
        <f t="shared" ref="I94" si="110">ROUND(((($I$30+$I$60-$I$54-$I$55+$I$71)/30)*F95)/$E$19,2)</f>
        <v>13.34</v>
      </c>
      <c r="J94" s="782">
        <f t="shared" ref="J94" si="111">ROUND(((($J$30+$J$60-$J$54-$J$55+$J$71)/30)*F95)/$E$19,2)</f>
        <v>13.34</v>
      </c>
      <c r="K94" s="782">
        <f t="shared" ref="K94" si="112">ROUND(((($K$30+$K$60-$K$54-$K$55+$K$71)/30)*F95)/$E$19,2)</f>
        <v>13.34</v>
      </c>
      <c r="L94" s="742">
        <f t="shared" ref="L94" si="113">ROUND(((($L$30+$L$60-$L$54-$L$55+$L$71)/30)*F95)/$E$19,2)</f>
        <v>13.34</v>
      </c>
      <c r="M94" s="732">
        <f t="shared" ref="M94" si="114">ROUND(((($M$30+$M$60-$M$54-$M$55+$M$71)/30)*F95)/$E$19,2)</f>
        <v>13.34</v>
      </c>
      <c r="N94" s="732">
        <f t="shared" ref="N94" si="115">ROUND(((($N$30+$N$60-$N$54-$N$55+$N$71)/30)*F95)/$E$19,2)</f>
        <v>13.34</v>
      </c>
      <c r="O94" s="732">
        <f t="shared" ref="O94" si="116">ROUND(((($O$30+$O$60-$O$54-$O$55+$O$71)/30)*F95)/$E$19,2)</f>
        <v>17.23</v>
      </c>
      <c r="P94" s="732">
        <f t="shared" ref="P94" si="117">ROUND(((($P$30+$P$60-$P$54-$P$55+$P$71)/30)*F95)/$E$19,2)</f>
        <v>17.23</v>
      </c>
    </row>
    <row r="95" spans="1:16" ht="19.5" customHeight="1">
      <c r="A95" s="601"/>
      <c r="B95" s="791"/>
      <c r="C95" s="456">
        <v>1.9699999999999999E-2</v>
      </c>
      <c r="D95" s="243">
        <f>ROUND((120*E19)/12,2)</f>
        <v>600</v>
      </c>
      <c r="E95" s="294">
        <f>ROUND((252/365),4)</f>
        <v>0.69040000000000001</v>
      </c>
      <c r="F95" s="243">
        <f>ROUND(C95*D95*E95,4)</f>
        <v>8.1605000000000008</v>
      </c>
      <c r="G95" s="778"/>
      <c r="H95" s="783"/>
      <c r="I95" s="783"/>
      <c r="J95" s="783"/>
      <c r="K95" s="783"/>
      <c r="L95" s="742"/>
      <c r="M95" s="732"/>
      <c r="N95" s="732"/>
      <c r="O95" s="732"/>
      <c r="P95" s="732"/>
    </row>
    <row r="96" spans="1:16" ht="41" customHeight="1">
      <c r="A96" s="662" t="s">
        <v>271</v>
      </c>
      <c r="B96" s="790" t="s">
        <v>272</v>
      </c>
      <c r="C96" s="243" t="s">
        <v>259</v>
      </c>
      <c r="D96" s="50" t="s">
        <v>348</v>
      </c>
      <c r="E96" s="243" t="s">
        <v>260</v>
      </c>
      <c r="F96" s="50" t="s">
        <v>517</v>
      </c>
      <c r="G96" s="777">
        <f t="shared" ref="G96" si="118">ROUND(((($G$30+$G$60-$G$54-$G$55+$G$71)/30)*F97)/$E$19,2)</f>
        <v>0.1</v>
      </c>
      <c r="H96" s="782">
        <f t="shared" ref="H96" si="119">ROUND(((($H$30+$H$60-$H$54-$H$55+$H$71)/30)*F97)/$E$19,2)</f>
        <v>0.11</v>
      </c>
      <c r="I96" s="782">
        <f t="shared" ref="I96" si="120">ROUND(((($I$30+$I$60-$I$54-$I$55+$I$71)/30)*F97)/$E$19,2)</f>
        <v>0.08</v>
      </c>
      <c r="J96" s="782">
        <f t="shared" ref="J96" si="121">ROUND(((($J$30+$J$60-$J$54-$J$55+$J$71)/30)*F97)/$E$19,2)</f>
        <v>0.08</v>
      </c>
      <c r="K96" s="782">
        <f t="shared" ref="K96" si="122">ROUND(((($K$30+$K$60-$K$54-$K$55+$K$71)/30)*F97)/$E$19,2)</f>
        <v>0.08</v>
      </c>
      <c r="L96" s="742">
        <f t="shared" ref="L96" si="123">ROUND(((($L$30+$L$60-$L$54-$L$55+$L$71)/30)*F97)/$E$19,2)</f>
        <v>0.08</v>
      </c>
      <c r="M96" s="732">
        <f t="shared" ref="M96" si="124">ROUND(((($M$30+$M$60-$M$54-$M$55+$M$71)/30)*F97)/$E$19,2)</f>
        <v>0.08</v>
      </c>
      <c r="N96" s="732">
        <f t="shared" ref="N96" si="125">ROUND(((($N$30+$N$60-$N$54-$N$55+$N$71)/30)*F97)/$E$19,2)</f>
        <v>0.08</v>
      </c>
      <c r="O96" s="732">
        <f t="shared" ref="O96" si="126">ROUND(((($O$30+$O$60-$O$54-$O$55+$O$71)/30)*F97)/$E$19,2)</f>
        <v>0.1</v>
      </c>
      <c r="P96" s="732">
        <f t="shared" ref="P96" si="127">ROUND(((($P$30+$P$60-$P$54-$P$55+$P$71)/30)*F97)/$E$19,2)</f>
        <v>0.1</v>
      </c>
    </row>
    <row r="97" spans="1:17" ht="19.5" customHeight="1">
      <c r="A97" s="662"/>
      <c r="B97" s="791"/>
      <c r="C97" s="457">
        <v>1.6000000000000001E-3</v>
      </c>
      <c r="D97" s="243">
        <f>ROUND((6*E19)/12,2)</f>
        <v>30</v>
      </c>
      <c r="E97" s="294">
        <v>1</v>
      </c>
      <c r="F97" s="243">
        <f>ROUND(C97*D97*E97,4)</f>
        <v>4.8000000000000001E-2</v>
      </c>
      <c r="G97" s="778"/>
      <c r="H97" s="783"/>
      <c r="I97" s="783"/>
      <c r="J97" s="783"/>
      <c r="K97" s="783"/>
      <c r="L97" s="742"/>
      <c r="M97" s="732"/>
      <c r="N97" s="732"/>
      <c r="O97" s="732"/>
      <c r="P97" s="732"/>
    </row>
    <row r="98" spans="1:17" ht="48" customHeight="1">
      <c r="A98" s="767" t="s">
        <v>273</v>
      </c>
      <c r="B98" s="780" t="s">
        <v>274</v>
      </c>
      <c r="C98" s="243" t="s">
        <v>259</v>
      </c>
      <c r="D98" s="50" t="s">
        <v>348</v>
      </c>
      <c r="E98" s="243" t="s">
        <v>260</v>
      </c>
      <c r="F98" s="50" t="s">
        <v>517</v>
      </c>
      <c r="G98" s="777">
        <f t="shared" ref="G98" si="128">ROUND(((($G$30+$G$60-$G$54-$G$55+$G$71)/30)*F99)/$E$19,2)</f>
        <v>0.15</v>
      </c>
      <c r="H98" s="782">
        <f t="shared" ref="H98" si="129">ROUND(((($H$30+$H$60-$H$54-$H$55+$H$71)/30)*F99)/$E$19,2)</f>
        <v>0.16</v>
      </c>
      <c r="I98" s="782">
        <f t="shared" ref="I98" si="130">ROUND(((($I$30+$I$60-$I$54-$I$55+$I$71)/30)*F99)/$E$19,2)</f>
        <v>0.11</v>
      </c>
      <c r="J98" s="782">
        <f t="shared" ref="J98" si="131">ROUND(((($J$30+$J$60-$J$54-$J$55+$J$71)/30)*F99)/$E$19,2)</f>
        <v>0.11</v>
      </c>
      <c r="K98" s="782">
        <f t="shared" ref="K98" si="132">ROUND(((($K$30+$K$60-$K$54-$K$55+$K$71)/30)*F99)/$E$19,2)</f>
        <v>0.11</v>
      </c>
      <c r="L98" s="742">
        <f t="shared" ref="L98" si="133">ROUND(((($L$30+$L$60-$L$54-$L$55+$L$71)/30)*F99)/$E$19,2)</f>
        <v>0.11</v>
      </c>
      <c r="M98" s="732">
        <f t="shared" ref="M98" si="134">ROUND(((($M$30+$M$60-$M$54-$M$55+$M$71)/30)*F99)/$E$19,2)</f>
        <v>0.11</v>
      </c>
      <c r="N98" s="732">
        <f t="shared" ref="N98" si="135">ROUND(((($N$30+$N$60-$N$54-$N$55+$N$71)/30)*F99)/$E$19,2)</f>
        <v>0.11</v>
      </c>
      <c r="O98" s="732">
        <f t="shared" ref="O98" si="136">ROUND(((($O$30+$O$60-$O$54-$O$55+$O$71)/30)*F99)/$E$19,2)</f>
        <v>0.15</v>
      </c>
      <c r="P98" s="732">
        <f t="shared" ref="P98" si="137">ROUND(((($P$30+$P$60-$P$54-$P$55+$P$71)/30)*F99)/$E$19,2)</f>
        <v>0.15</v>
      </c>
    </row>
    <row r="99" spans="1:17" ht="19.5" customHeight="1">
      <c r="A99" s="601"/>
      <c r="B99" s="781"/>
      <c r="C99" s="458">
        <v>0.01</v>
      </c>
      <c r="D99" s="295">
        <f>ROUND((2*E19)/12,2)</f>
        <v>10</v>
      </c>
      <c r="E99" s="296">
        <f>ROUND((252/365),4)</f>
        <v>0.69040000000000001</v>
      </c>
      <c r="F99" s="295">
        <f>ROUND(C99*D99*E99,4)</f>
        <v>6.9000000000000006E-2</v>
      </c>
      <c r="G99" s="778"/>
      <c r="H99" s="783"/>
      <c r="I99" s="783"/>
      <c r="J99" s="783"/>
      <c r="K99" s="783"/>
      <c r="L99" s="742"/>
      <c r="M99" s="732"/>
      <c r="N99" s="732"/>
      <c r="O99" s="732"/>
      <c r="P99" s="732"/>
      <c r="Q99" s="69"/>
    </row>
    <row r="100" spans="1:17" ht="19.5" customHeight="1">
      <c r="A100" s="271" t="s">
        <v>275</v>
      </c>
      <c r="B100" s="459" t="s">
        <v>276</v>
      </c>
      <c r="C100" s="460"/>
      <c r="D100" s="460"/>
      <c r="E100" s="460"/>
      <c r="F100" s="461"/>
      <c r="G100" s="461"/>
      <c r="H100" s="462"/>
      <c r="I100" s="462"/>
      <c r="J100" s="462"/>
      <c r="K100" s="462"/>
      <c r="L100" s="462"/>
      <c r="M100" s="462"/>
      <c r="N100" s="462"/>
      <c r="O100" s="462"/>
      <c r="P100" s="462"/>
    </row>
    <row r="101" spans="1:17" ht="19.5" customHeight="1">
      <c r="A101" s="784" t="s">
        <v>277</v>
      </c>
      <c r="B101" s="785"/>
      <c r="C101" s="785"/>
      <c r="D101" s="785"/>
      <c r="E101" s="785"/>
      <c r="F101" s="786"/>
      <c r="G101" s="297">
        <f>SUM(G76:G100)</f>
        <v>78.98</v>
      </c>
      <c r="H101" s="297">
        <f>SUM(H76:H100)</f>
        <v>87.4</v>
      </c>
      <c r="I101" s="297">
        <f t="shared" ref="I101:P101" si="138">SUM(I76:I100)</f>
        <v>61.13</v>
      </c>
      <c r="J101" s="297">
        <f t="shared" si="138"/>
        <v>61.13</v>
      </c>
      <c r="K101" s="297">
        <f t="shared" si="138"/>
        <v>61.13</v>
      </c>
      <c r="L101" s="297">
        <f t="shared" si="138"/>
        <v>61.13</v>
      </c>
      <c r="M101" s="297">
        <f t="shared" si="138"/>
        <v>61.13</v>
      </c>
      <c r="N101" s="297">
        <f t="shared" si="138"/>
        <v>61.13</v>
      </c>
      <c r="O101" s="297">
        <f t="shared" si="138"/>
        <v>78.98</v>
      </c>
      <c r="P101" s="297">
        <f t="shared" si="138"/>
        <v>78.98</v>
      </c>
    </row>
    <row r="102" spans="1:17" ht="19.5" customHeight="1">
      <c r="A102" s="285" t="s">
        <v>278</v>
      </c>
      <c r="B102" s="273" t="s">
        <v>279</v>
      </c>
      <c r="C102" s="274"/>
      <c r="D102" s="274"/>
      <c r="E102" s="274"/>
      <c r="F102" s="274"/>
      <c r="G102" s="272">
        <f>ROUND($F$50*(G101-G94),2)</f>
        <v>22.72</v>
      </c>
      <c r="H102" s="272">
        <f>ROUND($F$50*(H101-H94),2)</f>
        <v>25.15</v>
      </c>
      <c r="I102" s="272">
        <f t="shared" ref="I102:P102" si="139">ROUND($F$50*(I101-I94),2)</f>
        <v>17.59</v>
      </c>
      <c r="J102" s="272">
        <f t="shared" si="139"/>
        <v>17.59</v>
      </c>
      <c r="K102" s="272">
        <f t="shared" si="139"/>
        <v>17.59</v>
      </c>
      <c r="L102" s="272">
        <f t="shared" si="139"/>
        <v>17.59</v>
      </c>
      <c r="M102" s="272">
        <f t="shared" si="139"/>
        <v>17.59</v>
      </c>
      <c r="N102" s="272">
        <f t="shared" si="139"/>
        <v>17.59</v>
      </c>
      <c r="O102" s="272">
        <f t="shared" si="139"/>
        <v>22.72</v>
      </c>
      <c r="P102" s="272">
        <f t="shared" si="139"/>
        <v>22.72</v>
      </c>
    </row>
    <row r="103" spans="1:17" ht="18.75" customHeight="1">
      <c r="A103" s="285" t="s">
        <v>280</v>
      </c>
      <c r="B103" s="483" t="s">
        <v>281</v>
      </c>
      <c r="C103" s="484"/>
      <c r="D103" s="485"/>
      <c r="E103" s="806">
        <v>9.0749999999999997E-2</v>
      </c>
      <c r="F103" s="807"/>
      <c r="G103" s="272">
        <f>ROUND($E$103*G30,2)</f>
        <v>219.89</v>
      </c>
      <c r="H103" s="272">
        <f>ROUND($E$103*H30,2)</f>
        <v>243.45</v>
      </c>
      <c r="I103" s="272">
        <f>ROUND($E$103*I30,2)</f>
        <v>169.92</v>
      </c>
      <c r="J103" s="272">
        <f>ROUND($E$103*J30,2)</f>
        <v>169.92</v>
      </c>
      <c r="K103" s="272">
        <f>ROUND($E$103*K30,2)</f>
        <v>169.92</v>
      </c>
      <c r="L103" s="272">
        <f t="shared" ref="L103:P103" si="140">ROUND($E$103*L30,2)</f>
        <v>169.92</v>
      </c>
      <c r="M103" s="272">
        <f t="shared" si="140"/>
        <v>169.92</v>
      </c>
      <c r="N103" s="272">
        <f t="shared" si="140"/>
        <v>169.92</v>
      </c>
      <c r="O103" s="272">
        <f t="shared" si="140"/>
        <v>219.89</v>
      </c>
      <c r="P103" s="272">
        <f t="shared" si="140"/>
        <v>219.89</v>
      </c>
    </row>
    <row r="104" spans="1:17" ht="33.75" customHeight="1">
      <c r="A104" s="285" t="s">
        <v>282</v>
      </c>
      <c r="B104" s="502" t="s">
        <v>283</v>
      </c>
      <c r="C104" s="503"/>
      <c r="D104" s="504"/>
      <c r="E104" s="808">
        <f>F50*21.19%</f>
        <v>7.8E-2</v>
      </c>
      <c r="F104" s="809"/>
      <c r="G104" s="272">
        <f>ROUND($E$104*G30,2)</f>
        <v>189</v>
      </c>
      <c r="H104" s="272">
        <f>ROUND($E$104*H30,2)</f>
        <v>209.25</v>
      </c>
      <c r="I104" s="272">
        <f>ROUND($E$104*I30,2)</f>
        <v>146.04</v>
      </c>
      <c r="J104" s="272">
        <f>ROUND($E$104*J30,2)</f>
        <v>146.04</v>
      </c>
      <c r="K104" s="272">
        <f>ROUND($E$104*K30,2)</f>
        <v>146.04</v>
      </c>
      <c r="L104" s="272">
        <f t="shared" ref="L104:P104" si="141">ROUND($E$104*L30,2)</f>
        <v>146.04</v>
      </c>
      <c r="M104" s="272">
        <f t="shared" si="141"/>
        <v>146.04</v>
      </c>
      <c r="N104" s="272">
        <f t="shared" si="141"/>
        <v>146.04</v>
      </c>
      <c r="O104" s="272">
        <f t="shared" si="141"/>
        <v>189</v>
      </c>
      <c r="P104" s="272">
        <f t="shared" si="141"/>
        <v>189</v>
      </c>
    </row>
    <row r="105" spans="1:17" ht="19.5" customHeight="1">
      <c r="A105" s="760" t="s">
        <v>284</v>
      </c>
      <c r="B105" s="761"/>
      <c r="C105" s="761"/>
      <c r="D105" s="761"/>
      <c r="E105" s="761"/>
      <c r="F105" s="762"/>
      <c r="G105" s="277">
        <f>SUM(G101:G104)</f>
        <v>510.59</v>
      </c>
      <c r="H105" s="277">
        <f>SUM(H101:H104)</f>
        <v>565.25</v>
      </c>
      <c r="I105" s="277">
        <f>SUM(I101:I104)</f>
        <v>394.68</v>
      </c>
      <c r="J105" s="277">
        <f>SUM(J101:J104)</f>
        <v>394.68</v>
      </c>
      <c r="K105" s="277">
        <f>SUM(K101:K104)</f>
        <v>394.68</v>
      </c>
      <c r="L105" s="278">
        <f t="shared" ref="L105:P105" si="142">SUM(L101:L104)</f>
        <v>394.68</v>
      </c>
      <c r="M105" s="278">
        <f t="shared" si="142"/>
        <v>394.68</v>
      </c>
      <c r="N105" s="278">
        <f t="shared" si="142"/>
        <v>394.68</v>
      </c>
      <c r="O105" s="278">
        <f t="shared" si="142"/>
        <v>510.59</v>
      </c>
      <c r="P105" s="278">
        <f t="shared" si="142"/>
        <v>510.59</v>
      </c>
    </row>
    <row r="106" spans="1:17" ht="4.5" customHeight="1">
      <c r="A106" s="298"/>
      <c r="B106" s="299"/>
      <c r="C106" s="299"/>
      <c r="D106" s="299"/>
      <c r="E106" s="299"/>
      <c r="F106" s="299"/>
      <c r="G106" s="299"/>
      <c r="H106" s="299"/>
      <c r="I106" s="299"/>
      <c r="J106" s="299"/>
      <c r="K106" s="299"/>
      <c r="L106" s="105"/>
    </row>
    <row r="107" spans="1:17" ht="18.75" customHeight="1">
      <c r="A107" s="835" t="s">
        <v>285</v>
      </c>
      <c r="B107" s="835"/>
      <c r="C107" s="835"/>
      <c r="D107" s="835"/>
      <c r="E107" s="835"/>
      <c r="F107" s="835"/>
      <c r="G107" s="835"/>
      <c r="H107" s="835"/>
      <c r="I107" s="835"/>
      <c r="J107" s="835"/>
      <c r="K107" s="835"/>
      <c r="L107" s="835"/>
      <c r="M107" s="835"/>
      <c r="N107" s="835"/>
      <c r="O107" s="835"/>
      <c r="P107" s="835"/>
    </row>
    <row r="108" spans="1:17" ht="19.5" customHeight="1">
      <c r="A108" s="265"/>
      <c r="B108" s="263"/>
      <c r="C108" s="263"/>
      <c r="D108" s="263"/>
      <c r="E108" s="263"/>
      <c r="F108" s="263"/>
      <c r="G108" s="426" t="s">
        <v>7</v>
      </c>
      <c r="H108" s="429" t="s">
        <v>7</v>
      </c>
      <c r="I108" s="429" t="s">
        <v>7</v>
      </c>
      <c r="J108" s="429" t="s">
        <v>7</v>
      </c>
      <c r="K108" s="428" t="s">
        <v>7</v>
      </c>
      <c r="L108" s="428" t="s">
        <v>7</v>
      </c>
      <c r="M108" s="428" t="s">
        <v>7</v>
      </c>
      <c r="N108" s="428" t="s">
        <v>7</v>
      </c>
      <c r="O108" s="428" t="s">
        <v>7</v>
      </c>
      <c r="P108" s="428" t="s">
        <v>7</v>
      </c>
    </row>
    <row r="109" spans="1:17" ht="19.5" customHeight="1">
      <c r="A109" s="34" t="s">
        <v>3</v>
      </c>
      <c r="B109" s="273" t="s">
        <v>286</v>
      </c>
      <c r="C109" s="274"/>
      <c r="D109" s="274"/>
      <c r="E109" s="274"/>
      <c r="F109" s="274"/>
      <c r="G109" s="272">
        <v>0</v>
      </c>
      <c r="H109" s="272">
        <v>0</v>
      </c>
      <c r="I109" s="272">
        <v>0</v>
      </c>
      <c r="J109" s="272">
        <v>0</v>
      </c>
      <c r="K109" s="272">
        <v>0</v>
      </c>
      <c r="L109" s="272">
        <v>0</v>
      </c>
      <c r="M109" s="272">
        <v>0</v>
      </c>
      <c r="N109" s="272">
        <v>0</v>
      </c>
      <c r="O109" s="272">
        <v>0</v>
      </c>
      <c r="P109" s="272">
        <v>0</v>
      </c>
    </row>
    <row r="110" spans="1:17" ht="19.5" customHeight="1">
      <c r="A110" s="760" t="s">
        <v>287</v>
      </c>
      <c r="B110" s="761"/>
      <c r="C110" s="761"/>
      <c r="D110" s="761"/>
      <c r="E110" s="761"/>
      <c r="F110" s="762"/>
      <c r="G110" s="278">
        <f>G109</f>
        <v>0</v>
      </c>
      <c r="H110" s="278">
        <f>H109</f>
        <v>0</v>
      </c>
      <c r="I110" s="278">
        <f>I109</f>
        <v>0</v>
      </c>
      <c r="J110" s="278">
        <f>J109</f>
        <v>0</v>
      </c>
      <c r="K110" s="278">
        <f>K109</f>
        <v>0</v>
      </c>
      <c r="L110" s="278">
        <f t="shared" ref="L110:P110" si="143">L109</f>
        <v>0</v>
      </c>
      <c r="M110" s="278">
        <f t="shared" si="143"/>
        <v>0</v>
      </c>
      <c r="N110" s="278">
        <f t="shared" si="143"/>
        <v>0</v>
      </c>
      <c r="O110" s="278">
        <f t="shared" si="143"/>
        <v>0</v>
      </c>
      <c r="P110" s="278">
        <f t="shared" si="143"/>
        <v>0</v>
      </c>
    </row>
    <row r="111" spans="1:17" ht="5.25" customHeight="1">
      <c r="A111" s="300"/>
      <c r="B111" s="301"/>
      <c r="C111" s="301"/>
      <c r="D111" s="301"/>
      <c r="E111" s="301"/>
      <c r="F111" s="301"/>
      <c r="G111" s="301"/>
      <c r="H111" s="301"/>
      <c r="I111" s="301"/>
      <c r="J111" s="301"/>
      <c r="K111" s="301"/>
      <c r="L111" s="301"/>
      <c r="M111" s="301"/>
      <c r="N111" s="301"/>
      <c r="O111" s="301"/>
      <c r="P111" s="301"/>
    </row>
    <row r="112" spans="1:17" ht="21.65" customHeight="1">
      <c r="A112" s="787" t="s">
        <v>288</v>
      </c>
      <c r="B112" s="788"/>
      <c r="C112" s="788"/>
      <c r="D112" s="788"/>
      <c r="E112" s="788"/>
      <c r="F112" s="789"/>
      <c r="G112" s="302">
        <f>ROUND(G110+G105,2)</f>
        <v>510.59</v>
      </c>
      <c r="H112" s="302">
        <f>ROUND(H110+H105,2)</f>
        <v>565.25</v>
      </c>
      <c r="I112" s="302">
        <f t="shared" ref="I112:J112" si="144">ROUND(I110+I105,2)</f>
        <v>394.68</v>
      </c>
      <c r="J112" s="302">
        <f t="shared" si="144"/>
        <v>394.68</v>
      </c>
      <c r="K112" s="303">
        <f>ROUND(K110+K105,2)</f>
        <v>394.68</v>
      </c>
      <c r="L112" s="303">
        <f t="shared" ref="L112:P112" si="145">ROUND(L110+L105,2)</f>
        <v>394.68</v>
      </c>
      <c r="M112" s="303">
        <f t="shared" si="145"/>
        <v>394.68</v>
      </c>
      <c r="N112" s="303">
        <f t="shared" si="145"/>
        <v>394.68</v>
      </c>
      <c r="O112" s="303">
        <f t="shared" si="145"/>
        <v>510.59</v>
      </c>
      <c r="P112" s="303">
        <f t="shared" si="145"/>
        <v>510.59</v>
      </c>
    </row>
    <row r="113" spans="1:16" ht="6.75" customHeight="1">
      <c r="A113" s="258"/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  <c r="L113" s="259"/>
      <c r="M113" s="259"/>
      <c r="N113" s="259"/>
      <c r="O113" s="259"/>
      <c r="P113" s="260"/>
    </row>
    <row r="114" spans="1:16" ht="21.5" customHeight="1">
      <c r="A114" s="559" t="s">
        <v>289</v>
      </c>
      <c r="B114" s="560"/>
      <c r="C114" s="560"/>
      <c r="D114" s="560"/>
      <c r="E114" s="560"/>
      <c r="F114" s="560"/>
      <c r="G114" s="560"/>
      <c r="H114" s="560"/>
      <c r="I114" s="560"/>
      <c r="J114" s="560"/>
      <c r="K114" s="560"/>
      <c r="L114" s="560"/>
      <c r="M114" s="560"/>
      <c r="N114" s="560"/>
      <c r="O114" s="560"/>
      <c r="P114" s="561"/>
    </row>
    <row r="115" spans="1:16" s="261" customFormat="1" ht="43" customHeight="1">
      <c r="A115" s="829"/>
      <c r="B115" s="830"/>
      <c r="C115" s="830"/>
      <c r="D115" s="830"/>
      <c r="E115" s="830"/>
      <c r="F115" s="831"/>
      <c r="G115" s="424" t="s">
        <v>530</v>
      </c>
      <c r="H115" s="424" t="s">
        <v>531</v>
      </c>
      <c r="I115" s="244" t="s">
        <v>524</v>
      </c>
      <c r="J115" s="244" t="s">
        <v>525</v>
      </c>
      <c r="K115" s="245" t="s">
        <v>526</v>
      </c>
      <c r="L115" s="245" t="s">
        <v>527</v>
      </c>
      <c r="M115" s="245" t="s">
        <v>528</v>
      </c>
      <c r="N115" s="245" t="s">
        <v>529</v>
      </c>
      <c r="O115" s="425" t="s">
        <v>532</v>
      </c>
      <c r="P115" s="424" t="s">
        <v>533</v>
      </c>
    </row>
    <row r="116" spans="1:16" s="261" customFormat="1" ht="19.5" customHeight="1">
      <c r="A116" s="832"/>
      <c r="B116" s="833"/>
      <c r="C116" s="833"/>
      <c r="D116" s="833"/>
      <c r="E116" s="833"/>
      <c r="F116" s="834"/>
      <c r="G116" s="426" t="s">
        <v>7</v>
      </c>
      <c r="H116" s="426" t="s">
        <v>7</v>
      </c>
      <c r="I116" s="426" t="s">
        <v>7</v>
      </c>
      <c r="J116" s="426" t="s">
        <v>7</v>
      </c>
      <c r="K116" s="426" t="s">
        <v>7</v>
      </c>
      <c r="L116" s="426" t="s">
        <v>7</v>
      </c>
      <c r="M116" s="426" t="s">
        <v>7</v>
      </c>
      <c r="N116" s="426" t="s">
        <v>7</v>
      </c>
      <c r="O116" s="426" t="s">
        <v>7</v>
      </c>
      <c r="P116" s="426" t="s">
        <v>7</v>
      </c>
    </row>
    <row r="117" spans="1:16" ht="19.5" customHeight="1">
      <c r="A117" s="34" t="s">
        <v>290</v>
      </c>
      <c r="B117" s="483" t="s">
        <v>291</v>
      </c>
      <c r="C117" s="484"/>
      <c r="D117" s="484"/>
      <c r="E117" s="484"/>
      <c r="F117" s="485"/>
      <c r="G117" s="272">
        <f>Uniforme!$G$26</f>
        <v>119.55</v>
      </c>
      <c r="H117" s="289">
        <f>Uniforme!$G$26</f>
        <v>119.55</v>
      </c>
      <c r="I117" s="289">
        <f>Uniforme!$G$26</f>
        <v>119.55</v>
      </c>
      <c r="J117" s="289">
        <f>Uniforme!$G$26</f>
        <v>119.55</v>
      </c>
      <c r="K117" s="289">
        <f>Uniforme!$G$26</f>
        <v>119.55</v>
      </c>
      <c r="L117" s="289">
        <f>Uniforme!$G$26</f>
        <v>119.55</v>
      </c>
      <c r="M117" s="289">
        <f>Uniforme!$G$26</f>
        <v>119.55</v>
      </c>
      <c r="N117" s="289">
        <f>Uniforme!$G$26</f>
        <v>119.55</v>
      </c>
      <c r="O117" s="289">
        <f>Uniforme!$G$26</f>
        <v>119.55</v>
      </c>
      <c r="P117" s="289">
        <f>Uniforme!$G$26</f>
        <v>119.55</v>
      </c>
    </row>
    <row r="118" spans="1:16" ht="19.5" customHeight="1">
      <c r="A118" s="34" t="s">
        <v>4</v>
      </c>
      <c r="B118" s="483" t="s">
        <v>292</v>
      </c>
      <c r="C118" s="484"/>
      <c r="D118" s="484"/>
      <c r="E118" s="484"/>
      <c r="F118" s="485"/>
      <c r="G118" s="272">
        <f>Insumos!$G$79</f>
        <v>938.82</v>
      </c>
      <c r="H118" s="272">
        <f>Insumos!$G$79</f>
        <v>938.82</v>
      </c>
      <c r="I118" s="272">
        <f>Insumos!$G$79</f>
        <v>938.82</v>
      </c>
      <c r="J118" s="272">
        <f>Insumos!$G$79</f>
        <v>938.82</v>
      </c>
      <c r="K118" s="272">
        <f>Insumos!$G$79</f>
        <v>938.82</v>
      </c>
      <c r="L118" s="272">
        <f>Insumos!$G$79</f>
        <v>938.82</v>
      </c>
      <c r="M118" s="272">
        <f>Insumos!$G$79</f>
        <v>938.82</v>
      </c>
      <c r="N118" s="272">
        <f>Insumos!$G$79</f>
        <v>938.82</v>
      </c>
      <c r="O118" s="272">
        <f>Insumos!$G$79</f>
        <v>938.82</v>
      </c>
      <c r="P118" s="272">
        <f>Insumos!$G$79</f>
        <v>938.82</v>
      </c>
    </row>
    <row r="119" spans="1:16" ht="19.5" customHeight="1">
      <c r="A119" s="34" t="s">
        <v>5</v>
      </c>
      <c r="B119" s="287" t="s">
        <v>334</v>
      </c>
      <c r="C119" s="288"/>
      <c r="D119" s="288"/>
      <c r="E119" s="288"/>
      <c r="F119" s="304"/>
      <c r="G119" s="272">
        <f>Equipamentos!$G$26</f>
        <v>58.51</v>
      </c>
      <c r="H119" s="272">
        <f>Equipamentos!$G$26</f>
        <v>58.51</v>
      </c>
      <c r="I119" s="272">
        <f>Equipamentos!$G$26</f>
        <v>58.51</v>
      </c>
      <c r="J119" s="272">
        <f>Equipamentos!$G$26</f>
        <v>58.51</v>
      </c>
      <c r="K119" s="272">
        <f>Equipamentos!$G$26</f>
        <v>58.51</v>
      </c>
      <c r="L119" s="272">
        <f>Equipamentos!$G$26</f>
        <v>58.51</v>
      </c>
      <c r="M119" s="272">
        <f>Equipamentos!$G$26</f>
        <v>58.51</v>
      </c>
      <c r="N119" s="272">
        <f>Equipamentos!$G$26</f>
        <v>58.51</v>
      </c>
      <c r="O119" s="272">
        <f>Equipamentos!$G$26</f>
        <v>58.51</v>
      </c>
      <c r="P119" s="272">
        <f>Equipamentos!$G$26</f>
        <v>58.51</v>
      </c>
    </row>
    <row r="120" spans="1:16" ht="19.5" customHeight="1">
      <c r="A120" s="34" t="s">
        <v>216</v>
      </c>
      <c r="B120" s="739" t="s">
        <v>231</v>
      </c>
      <c r="C120" s="740"/>
      <c r="D120" s="740"/>
      <c r="E120" s="740"/>
      <c r="F120" s="779"/>
      <c r="G120" s="463"/>
      <c r="H120" s="463"/>
      <c r="I120" s="463"/>
      <c r="J120" s="463"/>
      <c r="K120" s="463"/>
      <c r="L120" s="463"/>
      <c r="M120" s="463"/>
      <c r="N120" s="463"/>
      <c r="O120" s="463"/>
      <c r="P120" s="463"/>
    </row>
    <row r="121" spans="1:16" ht="22" customHeight="1">
      <c r="A121" s="743" t="s">
        <v>293</v>
      </c>
      <c r="B121" s="763"/>
      <c r="C121" s="763"/>
      <c r="D121" s="763"/>
      <c r="E121" s="763"/>
      <c r="F121" s="764"/>
      <c r="G121" s="257">
        <f>ROUND(SUM(G117:G120),2)</f>
        <v>1116.8800000000001</v>
      </c>
      <c r="H121" s="257">
        <f t="shared" ref="H121:P121" si="146">ROUND(SUM(H117:H120),2)</f>
        <v>1116.8800000000001</v>
      </c>
      <c r="I121" s="257">
        <f t="shared" si="146"/>
        <v>1116.8800000000001</v>
      </c>
      <c r="J121" s="257">
        <f t="shared" si="146"/>
        <v>1116.8800000000001</v>
      </c>
      <c r="K121" s="257">
        <f t="shared" si="146"/>
        <v>1116.8800000000001</v>
      </c>
      <c r="L121" s="257">
        <f t="shared" si="146"/>
        <v>1116.8800000000001</v>
      </c>
      <c r="M121" s="257">
        <f t="shared" si="146"/>
        <v>1116.8800000000001</v>
      </c>
      <c r="N121" s="257">
        <f t="shared" si="146"/>
        <v>1116.8800000000001</v>
      </c>
      <c r="O121" s="257">
        <f t="shared" si="146"/>
        <v>1116.8800000000001</v>
      </c>
      <c r="P121" s="257">
        <f t="shared" si="146"/>
        <v>1116.8800000000001</v>
      </c>
    </row>
    <row r="122" spans="1:16" ht="6.75" customHeight="1">
      <c r="A122" s="258"/>
      <c r="B122" s="259"/>
      <c r="C122" s="259"/>
      <c r="D122" s="259"/>
      <c r="E122" s="259"/>
      <c r="F122" s="259"/>
      <c r="G122" s="259"/>
      <c r="H122" s="259"/>
      <c r="I122" s="259"/>
      <c r="J122" s="259"/>
      <c r="K122" s="259"/>
      <c r="L122" s="259"/>
      <c r="M122" s="259"/>
      <c r="N122" s="259"/>
      <c r="O122" s="259"/>
      <c r="P122" s="260"/>
    </row>
    <row r="123" spans="1:16" ht="22" customHeight="1">
      <c r="A123" s="559" t="s">
        <v>294</v>
      </c>
      <c r="B123" s="560"/>
      <c r="C123" s="560"/>
      <c r="D123" s="560"/>
      <c r="E123" s="560"/>
      <c r="F123" s="560"/>
      <c r="G123" s="560"/>
      <c r="H123" s="560"/>
      <c r="I123" s="560"/>
      <c r="J123" s="560"/>
      <c r="K123" s="560"/>
      <c r="L123" s="560"/>
      <c r="M123" s="560"/>
      <c r="N123" s="560"/>
      <c r="O123" s="560"/>
      <c r="P123" s="561"/>
    </row>
    <row r="124" spans="1:16" ht="49" customHeight="1">
      <c r="A124" s="262"/>
      <c r="B124" s="305"/>
      <c r="C124" s="305"/>
      <c r="D124" s="305"/>
      <c r="E124" s="305"/>
      <c r="F124" s="305"/>
      <c r="G124" s="424" t="s">
        <v>530</v>
      </c>
      <c r="H124" s="424" t="s">
        <v>531</v>
      </c>
      <c r="I124" s="244" t="s">
        <v>524</v>
      </c>
      <c r="J124" s="244" t="s">
        <v>525</v>
      </c>
      <c r="K124" s="245" t="s">
        <v>526</v>
      </c>
      <c r="L124" s="245" t="s">
        <v>527</v>
      </c>
      <c r="M124" s="245" t="s">
        <v>528</v>
      </c>
      <c r="N124" s="245" t="s">
        <v>529</v>
      </c>
      <c r="O124" s="425" t="s">
        <v>532</v>
      </c>
      <c r="P124" s="424" t="s">
        <v>533</v>
      </c>
    </row>
    <row r="125" spans="1:16" ht="19.5" customHeight="1">
      <c r="A125" s="826"/>
      <c r="B125" s="827"/>
      <c r="C125" s="827"/>
      <c r="D125" s="827"/>
      <c r="E125" s="827"/>
      <c r="F125" s="828"/>
      <c r="G125" s="426" t="s">
        <v>7</v>
      </c>
      <c r="H125" s="426" t="s">
        <v>7</v>
      </c>
      <c r="I125" s="426" t="s">
        <v>7</v>
      </c>
      <c r="J125" s="426" t="s">
        <v>7</v>
      </c>
      <c r="K125" s="426" t="s">
        <v>7</v>
      </c>
      <c r="L125" s="426" t="s">
        <v>7</v>
      </c>
      <c r="M125" s="426" t="s">
        <v>7</v>
      </c>
      <c r="N125" s="426" t="s">
        <v>7</v>
      </c>
      <c r="O125" s="426" t="s">
        <v>7</v>
      </c>
      <c r="P125" s="426" t="s">
        <v>7</v>
      </c>
    </row>
    <row r="126" spans="1:16" ht="19.5" customHeight="1">
      <c r="A126" s="34" t="s">
        <v>3</v>
      </c>
      <c r="B126" s="483" t="s">
        <v>295</v>
      </c>
      <c r="C126" s="484"/>
      <c r="D126" s="484"/>
      <c r="E126" s="484"/>
      <c r="F126" s="485"/>
      <c r="G126" s="44">
        <f>ROUND((G30+G60+G71+G112+G121)*'Benefícios e Outros Dados'!$K$37,2)</f>
        <v>359.56</v>
      </c>
      <c r="H126" s="44">
        <f>ROUND((H30+H60+H71+H112+H121)*'Benefícios e Outros Dados'!$K$37,2)</f>
        <v>386.81</v>
      </c>
      <c r="I126" s="44">
        <f>ROUND((I30+I60+I71+I112+I121)*'Benefícios e Outros Dados'!$K$37,2)</f>
        <v>301.60000000000002</v>
      </c>
      <c r="J126" s="44">
        <f>ROUND((J30+J60+J71+J112+J121)*'Benefícios e Outros Dados'!$K$37,2)</f>
        <v>300.35000000000002</v>
      </c>
      <c r="K126" s="44">
        <f>ROUND((K30+K60+K71+K112+K121)*'Benefícios e Outros Dados'!$K$37,2)</f>
        <v>301.85000000000002</v>
      </c>
      <c r="L126" s="44">
        <f>ROUND((L30+L60+L71+L112+L121)*'Benefícios e Outros Dados'!$K$37,2)</f>
        <v>298.74</v>
      </c>
      <c r="M126" s="44">
        <f>ROUND((M30+M60+M71+M112+M121)*'Benefícios e Outros Dados'!$K$37,2)</f>
        <v>300.35000000000002</v>
      </c>
      <c r="N126" s="44">
        <f>ROUND((N30+N60+N71+N112+N121)*'Benefícios e Outros Dados'!$K$37,2)</f>
        <v>300.35000000000002</v>
      </c>
      <c r="O126" s="44">
        <f>ROUND((O30+O60+O71+O112+O121)*'Benefícios e Outros Dados'!$K$37,2)</f>
        <v>352.46</v>
      </c>
      <c r="P126" s="44">
        <f>ROUND((P30+P60+P71+P112+P121)*'Benefícios e Outros Dados'!$K$37,2)</f>
        <v>349.9</v>
      </c>
    </row>
    <row r="127" spans="1:16" ht="19.5" customHeight="1">
      <c r="A127" s="34" t="s">
        <v>4</v>
      </c>
      <c r="B127" s="483" t="s">
        <v>25</v>
      </c>
      <c r="C127" s="484"/>
      <c r="D127" s="484"/>
      <c r="E127" s="484"/>
      <c r="F127" s="485"/>
      <c r="G127" s="44">
        <f>ROUND((G30+G60+G71+G112+G121+G126)*'Benefícios e Outros Dados'!$K$38,2)</f>
        <v>385.38</v>
      </c>
      <c r="H127" s="44">
        <f>ROUND((H30+H60+H71+H112+H121+H126)*'Benefícios e Outros Dados'!$K$38,2)</f>
        <v>414.59</v>
      </c>
      <c r="I127" s="44">
        <f>ROUND((I30+I60+I71+I112+I121+I126)*'Benefícios e Outros Dados'!$K$38,2)</f>
        <v>323.26</v>
      </c>
      <c r="J127" s="44">
        <f>ROUND((J30+J60+J71+J112+J121+J126)*'Benefícios e Outros Dados'!$K$38,2)</f>
        <v>321.92</v>
      </c>
      <c r="K127" s="44">
        <f>ROUND((K30+K60+K71+K112+K121+K126)*'Benefícios e Outros Dados'!$K$38,2)</f>
        <v>323.52</v>
      </c>
      <c r="L127" s="44">
        <f>ROUND((L30+L60+L71+L112+L121+L126)*'Benefícios e Outros Dados'!$K$38,2)</f>
        <v>320.19</v>
      </c>
      <c r="M127" s="44">
        <f>ROUND((M30+M60+M71+M112+M121+M126)*'Benefícios e Outros Dados'!$K$38,2)</f>
        <v>321.92</v>
      </c>
      <c r="N127" s="44">
        <f>ROUND((N30+N60+N71+N112+N121+N126)*'Benefícios e Outros Dados'!$K$38,2)</f>
        <v>321.92</v>
      </c>
      <c r="O127" s="44">
        <f>ROUND((O30+O60+O71+O112+O121+O126)*'Benefícios e Outros Dados'!$K$38,2)</f>
        <v>377.77</v>
      </c>
      <c r="P127" s="44">
        <f>ROUND((P30+P60+P71+P112+P121+P126)*'Benefícios e Outros Dados'!$K$38,2)</f>
        <v>375.03</v>
      </c>
    </row>
    <row r="128" spans="1:16" ht="19.5" customHeight="1">
      <c r="A128" s="767" t="s">
        <v>5</v>
      </c>
      <c r="B128" s="767" t="s">
        <v>296</v>
      </c>
      <c r="C128" s="771" t="s">
        <v>297</v>
      </c>
      <c r="D128" s="772"/>
      <c r="E128" s="524" t="s">
        <v>29</v>
      </c>
      <c r="F128" s="526"/>
      <c r="G128" s="306">
        <f>ROUND((($G$30+$G$60+$G$71+$G$112+$G$121+$G$126+$G$127)/(1-'Benefícios e Outros Dados'!$K$45))*'Benefícios e Outros Dados'!K40,2)</f>
        <v>131.01</v>
      </c>
      <c r="H128" s="44">
        <f>ROUND((($H$30+$H$60+$H$71+$H$112+$H$121+$H$126+$H$127)/(1-'Benefícios e Outros Dados'!$K$45))*'Benefícios e Outros Dados'!K40,2)</f>
        <v>140.94</v>
      </c>
      <c r="I128" s="44">
        <f>ROUND((($I$30+$I$60+$I$71+$I$112+$I$121+$I$126+$I$127)/(1-'Benefícios e Outros Dados'!$K$47))*'Benefícios e Outros Dados'!K40,2)</f>
        <v>109.89</v>
      </c>
      <c r="J128" s="44">
        <f>ROUND((($J$30+$J$60+$J$71+$J$112+$J$121+$J$126+$J$127)/(1-'Benefícios e Outros Dados'!$K$49))*'Benefícios e Outros Dados'!K40,2)</f>
        <v>109.43</v>
      </c>
      <c r="K128" s="44">
        <f>ROUND((($K$30+$K$60+$K$71+$K$112+$K$121+$K$126+$K$127)/(1-'Benefícios e Outros Dados'!$K$51))*'Benefícios e Outros Dados'!K40,2)</f>
        <v>109.98</v>
      </c>
      <c r="L128" s="44">
        <f>ROUND((($L$30+$L$60+$L$71+$L$112+$L$121+$L$126+$L$127)/(1-'Benefícios e Outros Dados'!$K$53))*'Benefícios e Outros Dados'!K40,2)</f>
        <v>108.84</v>
      </c>
      <c r="M128" s="44">
        <f>ROUND((($M$30+$M$60+$M$71+$M$112+$M$121+$M$126+$M$127)/(1-'Benefícios e Outros Dados'!$K$55))*'Benefícios e Outros Dados'!K40,2)</f>
        <v>105.73</v>
      </c>
      <c r="N128" s="44">
        <f>ROUND((($N$30+$N$60+$N$71+$N$112+$N$121+$N$126+$N$127)/(1-'Benefícios e Outros Dados'!$K$57))*'Benefícios e Outros Dados'!K40,2)</f>
        <v>109.43</v>
      </c>
      <c r="O128" s="44">
        <f>ROUND((($O$30+$O$60+$O$71+$O$112+$O$121+$O$126+$O$127)/(1-'Benefícios e Outros Dados'!$K$59))*'Benefícios e Outros Dados'!K40,2)</f>
        <v>128.41999999999999</v>
      </c>
      <c r="P128" s="44">
        <f>ROUND((($P$30+$P$60+$P$71+$P$112+$P$121+$P$126+$P$127)/(1-'Benefícios e Outros Dados'!$K$61))*'Benefícios e Outros Dados'!K40,2)</f>
        <v>126.02</v>
      </c>
    </row>
    <row r="129" spans="1:16" ht="19.5" customHeight="1">
      <c r="A129" s="770"/>
      <c r="B129" s="770"/>
      <c r="C129" s="773"/>
      <c r="D129" s="774"/>
      <c r="E129" s="524" t="s">
        <v>30</v>
      </c>
      <c r="F129" s="526"/>
      <c r="G129" s="306">
        <f>ROUND((($G$30+$G$60+$G$71+$G$112+$G$121+$G$126+$G$127)/(1-'Benefícios e Outros Dados'!$K$45))*'Benefícios e Outros Dados'!K41,2)</f>
        <v>603.41999999999996</v>
      </c>
      <c r="H129" s="44">
        <f>ROUND((($H$30+$H$60+$H$71+$H$112+$H$121+$H$126+$H$127)/(1-'Benefícios e Outros Dados'!$K$45))*'Benefícios e Outros Dados'!K41,2)</f>
        <v>649.16</v>
      </c>
      <c r="I129" s="44">
        <f>ROUND((($I$30+$I$60+$I$71+$I$112+$I$121+$I$126+$I$127)/(1-'Benefícios e Outros Dados'!$K$47))*'Benefícios e Outros Dados'!K41,2)</f>
        <v>506.15</v>
      </c>
      <c r="J129" s="44">
        <f>ROUND((($J$30+$J$60+$J$71+$J$112+$J$121+$J$126+$J$127)/(1-'Benefícios e Outros Dados'!$K$49))*'Benefícios e Outros Dados'!K41,2)</f>
        <v>504.06</v>
      </c>
      <c r="K129" s="44">
        <f>ROUND((($K$30+$K$60+$K$71+$K$112+$K$121+$K$126+$K$127)/(1-'Benefícios e Outros Dados'!$K$51))*'Benefícios e Outros Dados'!K41,2)</f>
        <v>506.57</v>
      </c>
      <c r="L129" s="44">
        <f>ROUND((($L$30+$L$60+$L$71+$L$112+$L$121+$L$126+$L$127)/(1-'Benefícios e Outros Dados'!$K$53))*'Benefícios e Outros Dados'!K41,2)</f>
        <v>501.34</v>
      </c>
      <c r="M129" s="44">
        <f>ROUND((($M$30+$M$60+$M$71+$M$112+$M$121+$M$126+$M$127)/(1-'Benefícios e Outros Dados'!$K$55))*'Benefícios e Outros Dados'!K41,2)</f>
        <v>487.02</v>
      </c>
      <c r="N129" s="44">
        <f>ROUND((($N$30+$N$60+$N$71+$N$112+$N$121+$N$126+$N$127)/(1-'Benefícios e Outros Dados'!$K$57))*'Benefícios e Outros Dados'!K41,2)</f>
        <v>504.06</v>
      </c>
      <c r="O129" s="44">
        <f>ROUND((($O$30+$O$60+$O$71+$O$112+$O$121+$O$126+$O$127)/(1-'Benefícios e Outros Dados'!$K$59))*'Benefícios e Outros Dados'!K41,2)</f>
        <v>591.51</v>
      </c>
      <c r="P129" s="44">
        <f>ROUND((($P$30+$P$60+$P$71+$P$112+$P$121+$P$126+$P$127)/(1-'Benefícios e Outros Dados'!$K$61))*'Benefícios e Outros Dados'!K41,2)</f>
        <v>580.45000000000005</v>
      </c>
    </row>
    <row r="130" spans="1:16" ht="19.5" customHeight="1">
      <c r="A130" s="770"/>
      <c r="B130" s="770"/>
      <c r="C130" s="775"/>
      <c r="D130" s="776"/>
      <c r="E130" s="524" t="s">
        <v>536</v>
      </c>
      <c r="F130" s="526"/>
      <c r="G130" s="306">
        <f>ROUND((($G$30+$G$60+$G$71+$G$112+$G$121+$G$126+$G$127)/(1-'Benefícios e Outros Dados'!$K$45))*'Benefícios e Outros Dados'!K42,2)</f>
        <v>0</v>
      </c>
      <c r="H130" s="44">
        <f>ROUND((($H$30+$H$60+$H$71+$H$112+$H$121+$H$126+$H$127)/(1-'Benefícios e Outros Dados'!$K$45))*'Benefícios e Outros Dados'!K42,2)</f>
        <v>0</v>
      </c>
      <c r="I130" s="44">
        <f>ROUND((($I$30+$I$60+$I$71+$I$112+$I$121+$I$126+$I$127)/(1-'Benefícios e Outros Dados'!$K$47))*'Benefícios e Outros Dados'!K42,2)</f>
        <v>0</v>
      </c>
      <c r="J130" s="44">
        <f>ROUND((($J$30+$J$60+$J$71+$J$112+$J$121+$J$126+$J$127)/(1-'Benefícios e Outros Dados'!$K$49))*'Benefícios e Outros Dados'!K42,2)</f>
        <v>0</v>
      </c>
      <c r="K130" s="44">
        <f>ROUND((($K$30+$K$60+$K$71+$K$112+$K$121+$K$126+$K$127)/(1-'Benefícios e Outros Dados'!$K$51))*'Benefícios e Outros Dados'!K42,2)</f>
        <v>0</v>
      </c>
      <c r="L130" s="44">
        <f>ROUND((($L$30+$L$60+$L$71+$L$112+$L$121+$L$126+$L$127)/(1-'Benefícios e Outros Dados'!$K$53))*'Benefícios e Outros Dados'!K42,2)</f>
        <v>0</v>
      </c>
      <c r="M130" s="44">
        <f>ROUND((($M$30+$M$60+$M$71+$M$112+$M$121+$M$126+$M$127)/(1-'Benefícios e Outros Dados'!$K$55))*'Benefícios e Outros Dados'!K42,2)</f>
        <v>0</v>
      </c>
      <c r="N130" s="44">
        <f>ROUND((($N$30+$N$60+$N$71+$N$112+$N$121+$N$126+$N$127)/(1-'Benefícios e Outros Dados'!$K$57))*'Benefícios e Outros Dados'!K42,2)</f>
        <v>0</v>
      </c>
      <c r="O130" s="44">
        <f>ROUND((($O$30+$O$60+$O$71+$O$112+$O$121+$O$126+$O$127)/(1-'Benefícios e Outros Dados'!$K$59))*'Benefícios e Outros Dados'!K42,2)</f>
        <v>0</v>
      </c>
      <c r="P130" s="44">
        <f>ROUND((($P$30+$P$60+$P$71+$P$112+$P$121+$P$126+$P$127)/(1-'Benefícios e Outros Dados'!$K$61))*'Benefícios e Outros Dados'!K42,2)</f>
        <v>0</v>
      </c>
    </row>
    <row r="131" spans="1:16" ht="19.5" customHeight="1">
      <c r="A131" s="770"/>
      <c r="B131" s="770"/>
      <c r="C131" s="804" t="s">
        <v>299</v>
      </c>
      <c r="D131" s="805"/>
      <c r="E131" s="524" t="s">
        <v>300</v>
      </c>
      <c r="F131" s="526"/>
      <c r="G131" s="306">
        <f>ROUND((($G$30+$G$60+$G$71+$G$112+$G$121+$G$126+$G$127)/(1-'Benefícios e Outros Dados'!$K$45))*'Benefícios e Outros Dados'!K44,2)</f>
        <v>396.99</v>
      </c>
      <c r="H131" s="44">
        <f>ROUND((($H$30+$H$60+$H$71+$H$112+$H$121+$H$126+$H$127)/(1-'Benefícios e Outros Dados'!$K$45))*'Benefícios e Outros Dados'!K44,2)</f>
        <v>427.08</v>
      </c>
      <c r="I131" s="44">
        <f>ROUND((($I$30+$I$60+$I$71+$I$112+$I$121+$I$126+$I$127)/(1-'Benefícios e Outros Dados'!$K$47))*'Benefícios e Outros Dados'!K46,2)</f>
        <v>332.99</v>
      </c>
      <c r="J131" s="44">
        <f>ROUND((($J$30+$J$60+$J$71+$J$112+$J$121+$J$126+$J$127)/(1-'Benefícios e Outros Dados'!$K$49))*'Benefícios e Outros Dados'!K48,2)</f>
        <v>331.62</v>
      </c>
      <c r="K131" s="44">
        <f>ROUND((($K$30+$K$60+$K$71+$K$112+$K$121+$K$126+$K$127)/(1-'Benefícios e Outros Dados'!$K$51))*'Benefícios e Outros Dados'!K50,2)</f>
        <v>333.27</v>
      </c>
      <c r="L131" s="44">
        <f>ROUND((($L$30+$L$60+$L$71+$L$112+$L$121+$L$126+$L$127)/(1-'Benefícios e Outros Dados'!$K$53))*'Benefícios e Outros Dados'!K52,2)</f>
        <v>329.83</v>
      </c>
      <c r="M131" s="44">
        <f>ROUND((($M$30+$M$60+$M$71+$M$112+$M$121+$M$126+$M$127)/(1-'Benefícios e Outros Dados'!$K$55))*'Benefícios e Outros Dados'!K54,2)</f>
        <v>128.16</v>
      </c>
      <c r="N131" s="44">
        <f>ROUND((($N$30+$N$60+$N$71+$N$112+$N$121+$N$126+$N$127)/(1-'Benefícios e Outros Dados'!$K$57))*'Benefícios e Outros Dados'!K56,2)</f>
        <v>331.62</v>
      </c>
      <c r="O131" s="44">
        <f>ROUND((($O$30+$O$60+$O$71+$O$112+$O$121+$O$126+$O$127)/(1-'Benefícios e Outros Dados'!$K$59))*'Benefícios e Outros Dados'!K58,2)</f>
        <v>389.15</v>
      </c>
      <c r="P131" s="44">
        <f>ROUND((($P$30+$P$60+$P$71+$P$112+$P$121+$P$126+$P$127)/(1-'Benefícios e Outros Dados'!$K$61))*'Benefícios e Outros Dados'!K60,2)</f>
        <v>305.5</v>
      </c>
    </row>
    <row r="132" spans="1:16" ht="19.5" customHeight="1">
      <c r="A132" s="770"/>
      <c r="B132" s="770"/>
      <c r="C132" s="486" t="s">
        <v>537</v>
      </c>
      <c r="D132" s="696"/>
      <c r="E132" s="696"/>
      <c r="F132" s="487"/>
      <c r="G132" s="306">
        <f>ROUND((($G$30+$G$60+$G$71+$G$112+$G$121+$G$126+$G$127)/(1-'Benefícios e Outros Dados'!$K$45))*'Benefícios e Outros Dados'!K43,2)</f>
        <v>0</v>
      </c>
      <c r="H132" s="44">
        <f>ROUND((($H$30+$H$60+$H$71+$H$112+$H$121+$H$126+$H$127)/(1-'Benefícios e Outros Dados'!$K$45))*'Benefícios e Outros Dados'!K43,2)</f>
        <v>0</v>
      </c>
      <c r="I132" s="44">
        <f>ROUND((($I$30+$I$60+$I$71+$I$112+$I$121+$I$126+$I$127)/(1-'Benefícios e Outros Dados'!$K$47))*'Benefícios e Outros Dados'!K43,2)</f>
        <v>0</v>
      </c>
      <c r="J132" s="44">
        <f>ROUND((($J$30+$J$60+$J$71+$J$112+$J$121+$J$126+$J$127)/(1-'Benefícios e Outros Dados'!$K$49))*'Benefícios e Outros Dados'!K43,2)</f>
        <v>0</v>
      </c>
      <c r="K132" s="44">
        <f>ROUND((($K$30+$K$60+$K$71+$K$112+$K$121+$K$126+$K$127)/(1-'Benefícios e Outros Dados'!$K$51))*'Benefícios e Outros Dados'!K43,2)</f>
        <v>0</v>
      </c>
      <c r="L132" s="44">
        <f>ROUND((($L$30+$L$60+$L$71+$L$112+$L$121+$L$126+$L$127)/(1-'Benefícios e Outros Dados'!$K$53))*'Benefícios e Outros Dados'!K43,2)</f>
        <v>0</v>
      </c>
      <c r="M132" s="44">
        <f>ROUND((($M$30+$M$60+$M$71+$M$112+$M$121+$M$126+$M$127)/(1-'Benefícios e Outros Dados'!$K$55))*'Benefícios e Outros Dados'!K43,2)</f>
        <v>0</v>
      </c>
      <c r="N132" s="44">
        <f>ROUND((($N$30+$N$60+$N$71+$N$112+$N$121+$N$126+$N$127)/(1-'Benefícios e Outros Dados'!$K$57))*'Benefícios e Outros Dados'!K43,2)</f>
        <v>0</v>
      </c>
      <c r="O132" s="44">
        <f>ROUND((($O$30+$O$60+$O$71+$O$112+$O$121+$O$126+$O$127)/(1-'Benefícios e Outros Dados'!$K$59))*'Benefícios e Outros Dados'!K43,2)</f>
        <v>0</v>
      </c>
      <c r="P132" s="44">
        <f>ROUND((($P$30+$P$60+$P$71+$P$112+$P$121+$P$126+$P$127)/(1-'Benefícios e Outros Dados'!$K$61))*'Benefícios e Outros Dados'!K43,2)</f>
        <v>0</v>
      </c>
    </row>
    <row r="133" spans="1:16" ht="19.5" customHeight="1">
      <c r="A133" s="601"/>
      <c r="B133" s="307" t="s">
        <v>301</v>
      </c>
      <c r="C133" s="308"/>
      <c r="D133" s="308"/>
      <c r="E133" s="308"/>
      <c r="F133" s="309"/>
      <c r="G133" s="310">
        <f t="shared" ref="G133:P133" si="147">SUM(G128,G129,G130,G131,G132)</f>
        <v>1131.42</v>
      </c>
      <c r="H133" s="310">
        <f t="shared" si="147"/>
        <v>1217.18</v>
      </c>
      <c r="I133" s="310">
        <f t="shared" si="147"/>
        <v>949.03</v>
      </c>
      <c r="J133" s="310">
        <f t="shared" si="147"/>
        <v>945.11</v>
      </c>
      <c r="K133" s="310">
        <f t="shared" si="147"/>
        <v>949.82</v>
      </c>
      <c r="L133" s="310">
        <f t="shared" si="147"/>
        <v>940.01</v>
      </c>
      <c r="M133" s="310">
        <f t="shared" si="147"/>
        <v>720.91</v>
      </c>
      <c r="N133" s="310">
        <f t="shared" si="147"/>
        <v>945.11</v>
      </c>
      <c r="O133" s="310">
        <f t="shared" si="147"/>
        <v>1109.08</v>
      </c>
      <c r="P133" s="310">
        <f t="shared" si="147"/>
        <v>1011.97</v>
      </c>
    </row>
    <row r="134" spans="1:16" ht="21.75" customHeight="1">
      <c r="A134" s="559" t="s">
        <v>302</v>
      </c>
      <c r="B134" s="560"/>
      <c r="C134" s="560"/>
      <c r="D134" s="560"/>
      <c r="E134" s="560"/>
      <c r="F134" s="561"/>
      <c r="G134" s="311">
        <f t="shared" ref="G134:P134" si="148">ROUND(SUM(G133,G127,G126),2)</f>
        <v>1876.36</v>
      </c>
      <c r="H134" s="311">
        <f t="shared" si="148"/>
        <v>2018.58</v>
      </c>
      <c r="I134" s="311">
        <f t="shared" si="148"/>
        <v>1573.89</v>
      </c>
      <c r="J134" s="311">
        <f t="shared" si="148"/>
        <v>1567.38</v>
      </c>
      <c r="K134" s="311">
        <f t="shared" si="148"/>
        <v>1575.19</v>
      </c>
      <c r="L134" s="311">
        <f t="shared" si="148"/>
        <v>1558.94</v>
      </c>
      <c r="M134" s="311">
        <f t="shared" si="148"/>
        <v>1343.18</v>
      </c>
      <c r="N134" s="311">
        <f t="shared" si="148"/>
        <v>1567.38</v>
      </c>
      <c r="O134" s="311">
        <f t="shared" si="148"/>
        <v>1839.31</v>
      </c>
      <c r="P134" s="311">
        <f t="shared" si="148"/>
        <v>1736.9</v>
      </c>
    </row>
    <row r="135" spans="1:16" ht="15" customHeight="1">
      <c r="A135" s="799"/>
      <c r="B135" s="800"/>
      <c r="C135" s="800"/>
      <c r="D135" s="800"/>
      <c r="E135" s="800"/>
      <c r="F135" s="800"/>
      <c r="G135" s="800"/>
      <c r="H135" s="800"/>
      <c r="I135" s="800"/>
      <c r="J135" s="800"/>
    </row>
    <row r="136" spans="1:16" ht="23.25" customHeight="1">
      <c r="A136" s="798" t="s">
        <v>303</v>
      </c>
      <c r="B136" s="798"/>
      <c r="C136" s="798"/>
      <c r="D136" s="798"/>
      <c r="E136" s="798"/>
      <c r="F136" s="798"/>
      <c r="G136" s="798"/>
      <c r="H136" s="798"/>
      <c r="I136" s="798"/>
      <c r="J136" s="798"/>
      <c r="K136" s="798"/>
      <c r="L136" s="798"/>
      <c r="M136" s="798"/>
      <c r="N136" s="798"/>
      <c r="O136" s="798"/>
      <c r="P136" s="798"/>
    </row>
    <row r="137" spans="1:16" ht="47.5" customHeight="1">
      <c r="A137" s="312"/>
      <c r="B137" s="313"/>
      <c r="C137" s="313"/>
      <c r="D137" s="313"/>
      <c r="E137" s="313"/>
      <c r="F137" s="313"/>
      <c r="G137" s="424" t="s">
        <v>530</v>
      </c>
      <c r="H137" s="424" t="s">
        <v>531</v>
      </c>
      <c r="I137" s="244" t="s">
        <v>524</v>
      </c>
      <c r="J137" s="244" t="s">
        <v>525</v>
      </c>
      <c r="K137" s="245" t="s">
        <v>526</v>
      </c>
      <c r="L137" s="245" t="s">
        <v>527</v>
      </c>
      <c r="M137" s="245" t="s">
        <v>528</v>
      </c>
      <c r="N137" s="245" t="s">
        <v>529</v>
      </c>
      <c r="O137" s="425" t="s">
        <v>532</v>
      </c>
      <c r="P137" s="424" t="s">
        <v>533</v>
      </c>
    </row>
    <row r="138" spans="1:16" ht="19.5" customHeight="1">
      <c r="A138" s="34" t="s">
        <v>3</v>
      </c>
      <c r="B138" s="273" t="s">
        <v>304</v>
      </c>
      <c r="C138" s="274"/>
      <c r="D138" s="274"/>
      <c r="E138" s="274"/>
      <c r="F138" s="274"/>
      <c r="G138" s="314">
        <f t="shared" ref="G138:P138" si="149">G30</f>
        <v>2423.0500000000002</v>
      </c>
      <c r="H138" s="314">
        <f t="shared" si="149"/>
        <v>2682.66</v>
      </c>
      <c r="I138" s="314">
        <f t="shared" si="149"/>
        <v>1872.36</v>
      </c>
      <c r="J138" s="314">
        <f t="shared" si="149"/>
        <v>1872.36</v>
      </c>
      <c r="K138" s="314">
        <f t="shared" si="149"/>
        <v>1872.36</v>
      </c>
      <c r="L138" s="314">
        <f t="shared" si="149"/>
        <v>1872.36</v>
      </c>
      <c r="M138" s="314">
        <f t="shared" si="149"/>
        <v>1872.36</v>
      </c>
      <c r="N138" s="314">
        <f t="shared" si="149"/>
        <v>1872.36</v>
      </c>
      <c r="O138" s="314">
        <f t="shared" si="149"/>
        <v>2423.0500000000002</v>
      </c>
      <c r="P138" s="314">
        <f t="shared" si="149"/>
        <v>2423.0500000000002</v>
      </c>
    </row>
    <row r="139" spans="1:16" ht="19.5" customHeight="1">
      <c r="A139" s="34" t="s">
        <v>4</v>
      </c>
      <c r="B139" s="273" t="s">
        <v>305</v>
      </c>
      <c r="C139" s="274"/>
      <c r="D139" s="274"/>
      <c r="E139" s="274"/>
      <c r="F139" s="274"/>
      <c r="G139" s="314">
        <f t="shared" ref="G139:P139" si="150">G60</f>
        <v>1823.79</v>
      </c>
      <c r="H139" s="314">
        <f t="shared" si="150"/>
        <v>1948.81</v>
      </c>
      <c r="I139" s="314">
        <f t="shared" si="150"/>
        <v>1555.93</v>
      </c>
      <c r="J139" s="314">
        <f t="shared" si="150"/>
        <v>1534.93</v>
      </c>
      <c r="K139" s="314">
        <f t="shared" si="150"/>
        <v>1560.13</v>
      </c>
      <c r="L139" s="314">
        <f t="shared" si="150"/>
        <v>1507.63</v>
      </c>
      <c r="M139" s="314">
        <f t="shared" si="150"/>
        <v>1534.93</v>
      </c>
      <c r="N139" s="314">
        <f t="shared" si="150"/>
        <v>1534.93</v>
      </c>
      <c r="O139" s="314">
        <f t="shared" si="150"/>
        <v>1704.09</v>
      </c>
      <c r="P139" s="314">
        <f t="shared" si="150"/>
        <v>1660.93</v>
      </c>
    </row>
    <row r="140" spans="1:16" ht="19.5" customHeight="1">
      <c r="A140" s="34" t="s">
        <v>5</v>
      </c>
      <c r="B140" s="273" t="s">
        <v>306</v>
      </c>
      <c r="C140" s="274"/>
      <c r="D140" s="274"/>
      <c r="E140" s="274"/>
      <c r="F140" s="274"/>
      <c r="G140" s="314">
        <f t="shared" ref="G140:P140" si="151">G71</f>
        <v>189.12</v>
      </c>
      <c r="H140" s="314">
        <f t="shared" si="151"/>
        <v>209.39</v>
      </c>
      <c r="I140" s="314">
        <f t="shared" si="151"/>
        <v>146.13999999999999</v>
      </c>
      <c r="J140" s="314">
        <f t="shared" si="151"/>
        <v>146.13999999999999</v>
      </c>
      <c r="K140" s="314">
        <f t="shared" si="151"/>
        <v>146.13999999999999</v>
      </c>
      <c r="L140" s="314">
        <f t="shared" si="151"/>
        <v>146.13999999999999</v>
      </c>
      <c r="M140" s="314">
        <f t="shared" si="151"/>
        <v>146.13999999999999</v>
      </c>
      <c r="N140" s="314">
        <f t="shared" si="151"/>
        <v>146.13999999999999</v>
      </c>
      <c r="O140" s="314">
        <f t="shared" si="151"/>
        <v>189.12</v>
      </c>
      <c r="P140" s="314">
        <f t="shared" si="151"/>
        <v>189.12</v>
      </c>
    </row>
    <row r="141" spans="1:16" ht="19.5" customHeight="1">
      <c r="A141" s="34" t="s">
        <v>216</v>
      </c>
      <c r="B141" s="273" t="s">
        <v>307</v>
      </c>
      <c r="C141" s="274"/>
      <c r="D141" s="274"/>
      <c r="E141" s="274"/>
      <c r="F141" s="274"/>
      <c r="G141" s="315">
        <f t="shared" ref="G141:P141" si="152">G112</f>
        <v>510.59</v>
      </c>
      <c r="H141" s="315">
        <f t="shared" si="152"/>
        <v>565.25</v>
      </c>
      <c r="I141" s="315">
        <f t="shared" si="152"/>
        <v>394.68</v>
      </c>
      <c r="J141" s="315">
        <f t="shared" si="152"/>
        <v>394.68</v>
      </c>
      <c r="K141" s="315">
        <f t="shared" si="152"/>
        <v>394.68</v>
      </c>
      <c r="L141" s="315">
        <f t="shared" si="152"/>
        <v>394.68</v>
      </c>
      <c r="M141" s="315">
        <f t="shared" si="152"/>
        <v>394.68</v>
      </c>
      <c r="N141" s="315">
        <f t="shared" si="152"/>
        <v>394.68</v>
      </c>
      <c r="O141" s="315">
        <f t="shared" si="152"/>
        <v>510.59</v>
      </c>
      <c r="P141" s="315">
        <f t="shared" si="152"/>
        <v>510.59</v>
      </c>
    </row>
    <row r="142" spans="1:16" ht="19.5" customHeight="1">
      <c r="A142" s="34" t="s">
        <v>218</v>
      </c>
      <c r="B142" s="273" t="s">
        <v>308</v>
      </c>
      <c r="C142" s="274"/>
      <c r="D142" s="274"/>
      <c r="E142" s="274"/>
      <c r="F142" s="274"/>
      <c r="G142" s="314">
        <f t="shared" ref="G142:P142" si="153">G121</f>
        <v>1116.8800000000001</v>
      </c>
      <c r="H142" s="314">
        <f t="shared" si="153"/>
        <v>1116.8800000000001</v>
      </c>
      <c r="I142" s="314">
        <f t="shared" si="153"/>
        <v>1116.8800000000001</v>
      </c>
      <c r="J142" s="314">
        <f t="shared" si="153"/>
        <v>1116.8800000000001</v>
      </c>
      <c r="K142" s="314">
        <f t="shared" si="153"/>
        <v>1116.8800000000001</v>
      </c>
      <c r="L142" s="314">
        <f t="shared" si="153"/>
        <v>1116.8800000000001</v>
      </c>
      <c r="M142" s="314">
        <f t="shared" si="153"/>
        <v>1116.8800000000001</v>
      </c>
      <c r="N142" s="314">
        <f t="shared" si="153"/>
        <v>1116.8800000000001</v>
      </c>
      <c r="O142" s="314">
        <f t="shared" si="153"/>
        <v>1116.8800000000001</v>
      </c>
      <c r="P142" s="314">
        <f t="shared" si="153"/>
        <v>1116.8800000000001</v>
      </c>
    </row>
    <row r="143" spans="1:16" ht="19.5" customHeight="1">
      <c r="A143" s="34" t="s">
        <v>221</v>
      </c>
      <c r="B143" s="273" t="s">
        <v>309</v>
      </c>
      <c r="C143" s="274"/>
      <c r="D143" s="274"/>
      <c r="E143" s="274"/>
      <c r="F143" s="274"/>
      <c r="G143" s="314">
        <f>G134</f>
        <v>1876.36</v>
      </c>
      <c r="H143" s="314">
        <f>H134</f>
        <v>2018.58</v>
      </c>
      <c r="I143" s="314">
        <f t="shared" ref="I143:P143" si="154">I134</f>
        <v>1573.89</v>
      </c>
      <c r="J143" s="314">
        <f t="shared" si="154"/>
        <v>1567.38</v>
      </c>
      <c r="K143" s="314">
        <f t="shared" si="154"/>
        <v>1575.19</v>
      </c>
      <c r="L143" s="314">
        <f t="shared" si="154"/>
        <v>1558.94</v>
      </c>
      <c r="M143" s="314">
        <f t="shared" si="154"/>
        <v>1343.18</v>
      </c>
      <c r="N143" s="314">
        <f t="shared" si="154"/>
        <v>1567.38</v>
      </c>
      <c r="O143" s="314">
        <f t="shared" si="154"/>
        <v>1839.31</v>
      </c>
      <c r="P143" s="314">
        <f t="shared" si="154"/>
        <v>1736.9</v>
      </c>
    </row>
    <row r="144" spans="1:16" ht="23.25" customHeight="1">
      <c r="A144" s="801" t="s">
        <v>310</v>
      </c>
      <c r="B144" s="802"/>
      <c r="C144" s="802"/>
      <c r="D144" s="802"/>
      <c r="E144" s="802"/>
      <c r="F144" s="803"/>
      <c r="G144" s="316">
        <f>ROUND(SUM(G138:G143),2)</f>
        <v>7939.79</v>
      </c>
      <c r="H144" s="316">
        <f>ROUND(SUM(H138:H143),2)</f>
        <v>8541.57</v>
      </c>
      <c r="I144" s="316">
        <f t="shared" ref="I144:P144" si="155">ROUND(SUM(I138:I143),2)</f>
        <v>6659.88</v>
      </c>
      <c r="J144" s="316">
        <f t="shared" si="155"/>
        <v>6632.37</v>
      </c>
      <c r="K144" s="316">
        <f t="shared" si="155"/>
        <v>6665.38</v>
      </c>
      <c r="L144" s="316">
        <f t="shared" si="155"/>
        <v>6596.63</v>
      </c>
      <c r="M144" s="316">
        <f t="shared" si="155"/>
        <v>6408.17</v>
      </c>
      <c r="N144" s="316">
        <f t="shared" si="155"/>
        <v>6632.37</v>
      </c>
      <c r="O144" s="316">
        <f t="shared" si="155"/>
        <v>7783.04</v>
      </c>
      <c r="P144" s="316">
        <f t="shared" si="155"/>
        <v>7637.47</v>
      </c>
    </row>
  </sheetData>
  <mergeCells count="244">
    <mergeCell ref="Q26:U26"/>
    <mergeCell ref="A125:F125"/>
    <mergeCell ref="L98:L99"/>
    <mergeCell ref="H88:H89"/>
    <mergeCell ref="A88:A89"/>
    <mergeCell ref="I84:I85"/>
    <mergeCell ref="J84:J85"/>
    <mergeCell ref="K84:K85"/>
    <mergeCell ref="H86:H87"/>
    <mergeCell ref="I86:I87"/>
    <mergeCell ref="J86:J87"/>
    <mergeCell ref="K86:K87"/>
    <mergeCell ref="K88:K89"/>
    <mergeCell ref="L88:L89"/>
    <mergeCell ref="A90:A91"/>
    <mergeCell ref="B90:B91"/>
    <mergeCell ref="A32:P32"/>
    <mergeCell ref="A34:P34"/>
    <mergeCell ref="A40:P40"/>
    <mergeCell ref="A52:P52"/>
    <mergeCell ref="A115:F116"/>
    <mergeCell ref="B117:F117"/>
    <mergeCell ref="A107:P107"/>
    <mergeCell ref="L86:L87"/>
    <mergeCell ref="M82:M83"/>
    <mergeCell ref="M84:M85"/>
    <mergeCell ref="H90:H91"/>
    <mergeCell ref="I90:I91"/>
    <mergeCell ref="J90:J91"/>
    <mergeCell ref="K90:K91"/>
    <mergeCell ref="L90:L91"/>
    <mergeCell ref="M78:M79"/>
    <mergeCell ref="M80:M81"/>
    <mergeCell ref="L84:L85"/>
    <mergeCell ref="H78:H79"/>
    <mergeCell ref="I78:I79"/>
    <mergeCell ref="J78:J79"/>
    <mergeCell ref="K78:K79"/>
    <mergeCell ref="L78:L79"/>
    <mergeCell ref="H80:H81"/>
    <mergeCell ref="L80:L81"/>
    <mergeCell ref="H82:H83"/>
    <mergeCell ref="I82:I83"/>
    <mergeCell ref="J82:J83"/>
    <mergeCell ref="K82:K83"/>
    <mergeCell ref="L82:L83"/>
    <mergeCell ref="K80:K81"/>
    <mergeCell ref="M86:M87"/>
    <mergeCell ref="A1:P1"/>
    <mergeCell ref="A2:P2"/>
    <mergeCell ref="N4:P4"/>
    <mergeCell ref="A4:M4"/>
    <mergeCell ref="A6:P6"/>
    <mergeCell ref="A8:P8"/>
    <mergeCell ref="A9:P9"/>
    <mergeCell ref="A21:P21"/>
    <mergeCell ref="A22:P22"/>
    <mergeCell ref="B17:F17"/>
    <mergeCell ref="B15:F15"/>
    <mergeCell ref="B16:F16"/>
    <mergeCell ref="A20:P20"/>
    <mergeCell ref="A5:J5"/>
    <mergeCell ref="A7:J7"/>
    <mergeCell ref="B12:F12"/>
    <mergeCell ref="B13:F13"/>
    <mergeCell ref="B10:F10"/>
    <mergeCell ref="B11:F11"/>
    <mergeCell ref="B14:F14"/>
    <mergeCell ref="E19:F19"/>
    <mergeCell ref="A19:D19"/>
    <mergeCell ref="A18:P18"/>
    <mergeCell ref="G19:P19"/>
    <mergeCell ref="L92:L93"/>
    <mergeCell ref="A136:P136"/>
    <mergeCell ref="A134:F134"/>
    <mergeCell ref="A135:J135"/>
    <mergeCell ref="A144:F144"/>
    <mergeCell ref="B126:F126"/>
    <mergeCell ref="B127:F127"/>
    <mergeCell ref="E128:F128"/>
    <mergeCell ref="E129:F129"/>
    <mergeCell ref="E130:F130"/>
    <mergeCell ref="E131:F131"/>
    <mergeCell ref="C131:D131"/>
    <mergeCell ref="C132:F132"/>
    <mergeCell ref="K94:K95"/>
    <mergeCell ref="L94:L95"/>
    <mergeCell ref="A92:A93"/>
    <mergeCell ref="B92:B93"/>
    <mergeCell ref="K92:K93"/>
    <mergeCell ref="J98:J99"/>
    <mergeCell ref="A123:P123"/>
    <mergeCell ref="E103:F103"/>
    <mergeCell ref="B104:D104"/>
    <mergeCell ref="E104:F104"/>
    <mergeCell ref="A110:F110"/>
    <mergeCell ref="B69:F69"/>
    <mergeCell ref="B70:F70"/>
    <mergeCell ref="B65:F65"/>
    <mergeCell ref="A71:F71"/>
    <mergeCell ref="A74:F75"/>
    <mergeCell ref="A76:A77"/>
    <mergeCell ref="B76:B77"/>
    <mergeCell ref="H76:H77"/>
    <mergeCell ref="H84:H85"/>
    <mergeCell ref="A84:A85"/>
    <mergeCell ref="B84:B85"/>
    <mergeCell ref="G84:G85"/>
    <mergeCell ref="A82:A83"/>
    <mergeCell ref="B82:B83"/>
    <mergeCell ref="G82:G83"/>
    <mergeCell ref="B68:F68"/>
    <mergeCell ref="G78:G79"/>
    <mergeCell ref="G76:G77"/>
    <mergeCell ref="H65:H66"/>
    <mergeCell ref="K76:K77"/>
    <mergeCell ref="A73:P73"/>
    <mergeCell ref="N76:N77"/>
    <mergeCell ref="O76:O77"/>
    <mergeCell ref="P76:P77"/>
    <mergeCell ref="M76:M77"/>
    <mergeCell ref="A78:A79"/>
    <mergeCell ref="B78:B79"/>
    <mergeCell ref="A80:A81"/>
    <mergeCell ref="B80:B81"/>
    <mergeCell ref="G80:G81"/>
    <mergeCell ref="I80:I81"/>
    <mergeCell ref="J80:J81"/>
    <mergeCell ref="J76:J77"/>
    <mergeCell ref="I76:I77"/>
    <mergeCell ref="L76:L77"/>
    <mergeCell ref="N78:N79"/>
    <mergeCell ref="N80:N81"/>
    <mergeCell ref="O78:O79"/>
    <mergeCell ref="O80:O81"/>
    <mergeCell ref="A96:A97"/>
    <mergeCell ref="B96:B97"/>
    <mergeCell ref="K96:K97"/>
    <mergeCell ref="L96:L97"/>
    <mergeCell ref="G96:G97"/>
    <mergeCell ref="M98:M99"/>
    <mergeCell ref="O96:O97"/>
    <mergeCell ref="A86:A87"/>
    <mergeCell ref="B86:B87"/>
    <mergeCell ref="A94:A95"/>
    <mergeCell ref="B94:B95"/>
    <mergeCell ref="H94:H95"/>
    <mergeCell ref="I94:I95"/>
    <mergeCell ref="J94:J95"/>
    <mergeCell ref="J88:J89"/>
    <mergeCell ref="H92:H93"/>
    <mergeCell ref="I92:I93"/>
    <mergeCell ref="J92:J93"/>
    <mergeCell ref="I88:I89"/>
    <mergeCell ref="G86:G87"/>
    <mergeCell ref="G88:G89"/>
    <mergeCell ref="G90:G91"/>
    <mergeCell ref="B88:B89"/>
    <mergeCell ref="G94:G95"/>
    <mergeCell ref="F23:F24"/>
    <mergeCell ref="A128:A133"/>
    <mergeCell ref="B128:B132"/>
    <mergeCell ref="C128:D130"/>
    <mergeCell ref="G92:G93"/>
    <mergeCell ref="G98:G99"/>
    <mergeCell ref="A114:P114"/>
    <mergeCell ref="B118:F118"/>
    <mergeCell ref="B120:F120"/>
    <mergeCell ref="A121:F121"/>
    <mergeCell ref="A105:F105"/>
    <mergeCell ref="A98:A99"/>
    <mergeCell ref="B98:B99"/>
    <mergeCell ref="K98:K99"/>
    <mergeCell ref="A101:F101"/>
    <mergeCell ref="B103:D103"/>
    <mergeCell ref="O98:O99"/>
    <mergeCell ref="A112:F112"/>
    <mergeCell ref="H98:H99"/>
    <mergeCell ref="I98:I99"/>
    <mergeCell ref="P96:P97"/>
    <mergeCell ref="H96:H97"/>
    <mergeCell ref="I96:I97"/>
    <mergeCell ref="J96:J97"/>
    <mergeCell ref="I65:I66"/>
    <mergeCell ref="J65:J66"/>
    <mergeCell ref="B27:E27"/>
    <mergeCell ref="B28:E28"/>
    <mergeCell ref="B25:F25"/>
    <mergeCell ref="B58:F58"/>
    <mergeCell ref="A59:F59"/>
    <mergeCell ref="A60:F60"/>
    <mergeCell ref="A63:F64"/>
    <mergeCell ref="G65:G66"/>
    <mergeCell ref="A65:A66"/>
    <mergeCell ref="A23:E24"/>
    <mergeCell ref="B55:F55"/>
    <mergeCell ref="B29:E29"/>
    <mergeCell ref="B54:F54"/>
    <mergeCell ref="M88:M89"/>
    <mergeCell ref="M90:M91"/>
    <mergeCell ref="M92:M93"/>
    <mergeCell ref="M94:M95"/>
    <mergeCell ref="M96:M97"/>
    <mergeCell ref="B57:F57"/>
    <mergeCell ref="B26:E26"/>
    <mergeCell ref="A62:P62"/>
    <mergeCell ref="M65:M66"/>
    <mergeCell ref="N65:N66"/>
    <mergeCell ref="O65:O66"/>
    <mergeCell ref="P65:P66"/>
    <mergeCell ref="A30:F30"/>
    <mergeCell ref="A38:E38"/>
    <mergeCell ref="B44:E44"/>
    <mergeCell ref="A50:E50"/>
    <mergeCell ref="K65:K66"/>
    <mergeCell ref="B66:D66"/>
    <mergeCell ref="E66:F66"/>
    <mergeCell ref="L65:L66"/>
    <mergeCell ref="N82:N83"/>
    <mergeCell ref="N84:N85"/>
    <mergeCell ref="N86:N87"/>
    <mergeCell ref="N88:N89"/>
    <mergeCell ref="N90:N91"/>
    <mergeCell ref="N92:N93"/>
    <mergeCell ref="N94:N95"/>
    <mergeCell ref="N96:N97"/>
    <mergeCell ref="N98:N99"/>
    <mergeCell ref="O82:O83"/>
    <mergeCell ref="O84:O85"/>
    <mergeCell ref="O86:O87"/>
    <mergeCell ref="O88:O89"/>
    <mergeCell ref="O90:O91"/>
    <mergeCell ref="O92:O93"/>
    <mergeCell ref="O94:O95"/>
    <mergeCell ref="P98:P99"/>
    <mergeCell ref="P78:P79"/>
    <mergeCell ref="P80:P81"/>
    <mergeCell ref="P82:P83"/>
    <mergeCell ref="P84:P85"/>
    <mergeCell ref="P86:P87"/>
    <mergeCell ref="P88:P89"/>
    <mergeCell ref="P90:P91"/>
    <mergeCell ref="P92:P93"/>
    <mergeCell ref="P94:P95"/>
  </mergeCells>
  <pageMargins left="0.511811024" right="0.511811024" top="0.78740157499999996" bottom="0.78740157499999996" header="0.31496062000000002" footer="0.31496062000000002"/>
  <pageSetup paperSize="9" scale="22" fitToWidth="0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B142"/>
  <sheetViews>
    <sheetView showGridLines="0" tabSelected="1" zoomScale="85" zoomScaleNormal="85" workbookViewId="0">
      <selection activeCell="G25" sqref="G25"/>
    </sheetView>
  </sheetViews>
  <sheetFormatPr defaultRowHeight="14.5"/>
  <cols>
    <col min="1" max="1" width="7.54296875" style="66" customWidth="1"/>
    <col min="2" max="2" width="14.54296875" style="66" customWidth="1"/>
    <col min="3" max="3" width="16.1796875" style="66" customWidth="1"/>
    <col min="4" max="4" width="22.08984375" style="66" customWidth="1"/>
    <col min="5" max="5" width="14.81640625" style="66" customWidth="1"/>
    <col min="6" max="6" width="17.90625" style="66" customWidth="1"/>
    <col min="7" max="7" width="19.453125" style="66" customWidth="1"/>
    <col min="8" max="8" width="25.54296875" style="66" bestFit="1" customWidth="1"/>
    <col min="9" max="9" width="17.90625" style="66" customWidth="1"/>
    <col min="10" max="16384" width="8.7265625" style="66"/>
  </cols>
  <sheetData>
    <row r="1" spans="1:9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</row>
    <row r="2" spans="1:9" s="64" customFormat="1" ht="32.15" customHeight="1">
      <c r="A2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</row>
    <row r="3" spans="1:9" s="64" customFormat="1" ht="6" customHeight="1">
      <c r="A3" s="102"/>
      <c r="B3" s="102"/>
      <c r="C3" s="102"/>
      <c r="D3" s="102"/>
      <c r="E3" s="102"/>
      <c r="F3" s="102"/>
      <c r="G3" s="102"/>
    </row>
    <row r="4" spans="1:9" s="64" customFormat="1" ht="18" customHeight="1">
      <c r="A4" s="600" t="s">
        <v>1</v>
      </c>
      <c r="B4" s="600"/>
      <c r="C4" s="600"/>
      <c r="D4" s="600"/>
      <c r="E4" s="600"/>
      <c r="F4" s="600"/>
      <c r="G4" s="600"/>
      <c r="H4" s="621" t="str">
        <f>CCT!J4</f>
        <v>10707.720194-2025-26</v>
      </c>
      <c r="I4" s="621"/>
    </row>
    <row r="5" spans="1:9" s="64" customFormat="1" ht="9" customHeight="1">
      <c r="A5" s="817"/>
      <c r="B5" s="817"/>
      <c r="C5" s="817"/>
      <c r="D5" s="817"/>
      <c r="E5" s="817"/>
      <c r="F5" s="817"/>
      <c r="G5" s="817"/>
    </row>
    <row r="6" spans="1:9" s="64" customFormat="1" ht="18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</row>
    <row r="7" spans="1:9" ht="11.15" customHeight="1">
      <c r="A7" s="818"/>
      <c r="B7" s="819"/>
      <c r="C7" s="819"/>
      <c r="D7" s="819"/>
      <c r="E7" s="819"/>
      <c r="F7" s="819"/>
      <c r="G7" s="819"/>
    </row>
    <row r="8" spans="1:9" ht="21.65" customHeight="1">
      <c r="A8" s="810" t="s">
        <v>212</v>
      </c>
      <c r="B8" s="810"/>
      <c r="C8" s="810"/>
      <c r="D8" s="810"/>
      <c r="E8" s="810"/>
      <c r="F8" s="810"/>
      <c r="G8" s="810"/>
      <c r="H8" s="810"/>
      <c r="I8" s="810"/>
    </row>
    <row r="9" spans="1:9" ht="26.5" customHeight="1">
      <c r="A9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9" s="481"/>
      <c r="C9" s="481"/>
      <c r="D9" s="481"/>
      <c r="E9" s="481"/>
      <c r="F9" s="481"/>
      <c r="G9" s="481"/>
      <c r="H9" s="481"/>
      <c r="I9" s="481"/>
    </row>
    <row r="10" spans="1:9" ht="47.5" customHeight="1">
      <c r="A10" s="243" t="s">
        <v>3</v>
      </c>
      <c r="B10" s="812" t="s">
        <v>213</v>
      </c>
      <c r="C10" s="812"/>
      <c r="D10" s="812"/>
      <c r="E10" s="812"/>
      <c r="F10" s="812"/>
      <c r="G10" s="424" t="s">
        <v>530</v>
      </c>
      <c r="H10" s="425" t="s">
        <v>534</v>
      </c>
      <c r="I10" s="424" t="s">
        <v>535</v>
      </c>
    </row>
    <row r="11" spans="1:9" ht="18.649999999999999" customHeight="1">
      <c r="A11" s="246" t="s">
        <v>4</v>
      </c>
      <c r="B11" s="812" t="s">
        <v>214</v>
      </c>
      <c r="C11" s="812"/>
      <c r="D11" s="812"/>
      <c r="E11" s="812"/>
      <c r="F11" s="812"/>
      <c r="G11" s="247" t="str">
        <f>CCT!E19</f>
        <v>RJ001105-2025</v>
      </c>
      <c r="H11" s="43" t="str">
        <f>CCT!E17</f>
        <v>RJ001253-2025</v>
      </c>
      <c r="I11" s="43" t="str">
        <f>CCT!E18</f>
        <v>RJ001253-2025</v>
      </c>
    </row>
    <row r="12" spans="1:9" ht="18.649999999999999" customHeight="1">
      <c r="A12" s="34" t="s">
        <v>5</v>
      </c>
      <c r="B12" s="820" t="s">
        <v>215</v>
      </c>
      <c r="C12" s="820"/>
      <c r="D12" s="820"/>
      <c r="E12" s="820"/>
      <c r="F12" s="820"/>
      <c r="G12" s="248">
        <f>CCT!I19</f>
        <v>2025</v>
      </c>
      <c r="H12" s="43">
        <f>CCT!I17</f>
        <v>2025</v>
      </c>
      <c r="I12" s="43">
        <f>CCT!I18</f>
        <v>2025</v>
      </c>
    </row>
    <row r="13" spans="1:9" ht="31" customHeight="1">
      <c r="A13" s="34" t="s">
        <v>216</v>
      </c>
      <c r="B13" s="812" t="s">
        <v>217</v>
      </c>
      <c r="C13" s="812"/>
      <c r="D13" s="812"/>
      <c r="E13" s="812"/>
      <c r="F13" s="812"/>
      <c r="G13" s="249" t="str">
        <f>CCT!A19</f>
        <v>Servente SEM Adicional</v>
      </c>
      <c r="H13" s="243" t="str">
        <f>CCT!A10</f>
        <v>Servente COM Adicional</v>
      </c>
      <c r="I13" s="243" t="str">
        <f>CCT!A10</f>
        <v>Servente COM Adicional</v>
      </c>
    </row>
    <row r="14" spans="1:9" ht="18.649999999999999" customHeight="1">
      <c r="A14" s="34" t="s">
        <v>218</v>
      </c>
      <c r="B14" s="812" t="s">
        <v>219</v>
      </c>
      <c r="C14" s="812"/>
      <c r="D14" s="812"/>
      <c r="E14" s="812"/>
      <c r="F14" s="812"/>
      <c r="G14" s="34" t="s">
        <v>220</v>
      </c>
      <c r="H14" s="34" t="s">
        <v>220</v>
      </c>
      <c r="I14" s="34" t="s">
        <v>220</v>
      </c>
    </row>
    <row r="15" spans="1:9" ht="18.649999999999999" customHeight="1">
      <c r="A15" s="34" t="s">
        <v>221</v>
      </c>
      <c r="B15" s="812" t="s">
        <v>222</v>
      </c>
      <c r="C15" s="812"/>
      <c r="D15" s="812"/>
      <c r="E15" s="812"/>
      <c r="F15" s="812"/>
      <c r="G15" s="250" t="str">
        <f>CCT!J19</f>
        <v>1° de março</v>
      </c>
      <c r="H15" s="43" t="str">
        <f>CCT!J17</f>
        <v>1° de março</v>
      </c>
      <c r="I15" s="43" t="str">
        <f>CCT!J18</f>
        <v>1° de março</v>
      </c>
    </row>
    <row r="16" spans="1:9" ht="18.649999999999999" customHeight="1">
      <c r="A16" s="34" t="s">
        <v>223</v>
      </c>
      <c r="B16" s="812" t="s">
        <v>224</v>
      </c>
      <c r="C16" s="812"/>
      <c r="D16" s="812"/>
      <c r="E16" s="812"/>
      <c r="F16" s="812"/>
      <c r="G16" s="252">
        <f>CCT!K19</f>
        <v>1730.75</v>
      </c>
      <c r="H16" s="44">
        <f>CCT!K17</f>
        <v>1730.75</v>
      </c>
      <c r="I16" s="44">
        <f>CCT!K18</f>
        <v>1730.75</v>
      </c>
    </row>
    <row r="17" spans="1:9" ht="18.649999999999999" customHeight="1">
      <c r="A17" s="34" t="s">
        <v>225</v>
      </c>
      <c r="B17" s="812" t="s">
        <v>227</v>
      </c>
      <c r="C17" s="812"/>
      <c r="D17" s="812"/>
      <c r="E17" s="812"/>
      <c r="F17" s="812"/>
      <c r="G17" s="247" t="s">
        <v>228</v>
      </c>
      <c r="H17" s="247" t="s">
        <v>228</v>
      </c>
      <c r="I17" s="247" t="s">
        <v>228</v>
      </c>
    </row>
    <row r="18" spans="1:9" ht="7.5" customHeight="1">
      <c r="A18" s="486"/>
      <c r="B18" s="696"/>
      <c r="C18" s="696"/>
      <c r="D18" s="696"/>
      <c r="E18" s="696"/>
      <c r="F18" s="696"/>
      <c r="G18" s="836"/>
      <c r="H18" s="836"/>
      <c r="I18" s="836"/>
    </row>
    <row r="19" spans="1:9" ht="18.649999999999999" customHeight="1">
      <c r="A19" s="837" t="s">
        <v>349</v>
      </c>
      <c r="B19" s="838"/>
      <c r="C19" s="838"/>
      <c r="D19" s="839"/>
      <c r="E19" s="821">
        <f>'Benefícios e Outros Dados'!I9</f>
        <v>60</v>
      </c>
      <c r="F19" s="821"/>
      <c r="G19" s="824"/>
      <c r="H19" s="824"/>
      <c r="I19" s="824"/>
    </row>
    <row r="20" spans="1:9" s="69" customFormat="1" ht="7.5" customHeight="1">
      <c r="A20" s="813"/>
      <c r="B20" s="814"/>
      <c r="C20" s="814"/>
      <c r="D20" s="814"/>
      <c r="E20" s="814"/>
      <c r="F20" s="814"/>
      <c r="G20" s="815"/>
      <c r="H20" s="815"/>
      <c r="I20" s="815"/>
    </row>
    <row r="21" spans="1:9" ht="6.75" customHeight="1">
      <c r="A21" s="811"/>
      <c r="B21" s="811"/>
      <c r="C21" s="811"/>
      <c r="D21" s="811"/>
      <c r="E21" s="811"/>
      <c r="F21" s="811"/>
      <c r="G21" s="811"/>
      <c r="H21" s="811"/>
      <c r="I21" s="811"/>
    </row>
    <row r="22" spans="1:9" ht="21.65" customHeight="1">
      <c r="A22" s="810" t="s">
        <v>229</v>
      </c>
      <c r="B22" s="810"/>
      <c r="C22" s="810"/>
      <c r="D22" s="810"/>
      <c r="E22" s="810"/>
      <c r="F22" s="810"/>
      <c r="G22" s="810"/>
      <c r="H22" s="810"/>
      <c r="I22" s="810"/>
    </row>
    <row r="23" spans="1:9" ht="45.5" customHeight="1">
      <c r="A23" s="733"/>
      <c r="B23" s="734"/>
      <c r="C23" s="734"/>
      <c r="D23" s="734"/>
      <c r="E23" s="734"/>
      <c r="F23" s="768" t="s">
        <v>230</v>
      </c>
      <c r="G23" s="424" t="s">
        <v>530</v>
      </c>
      <c r="H23" s="425" t="s">
        <v>534</v>
      </c>
      <c r="I23" s="424" t="s">
        <v>535</v>
      </c>
    </row>
    <row r="24" spans="1:9" ht="19.5" customHeight="1">
      <c r="A24" s="735"/>
      <c r="B24" s="736"/>
      <c r="C24" s="736"/>
      <c r="D24" s="736"/>
      <c r="E24" s="736"/>
      <c r="F24" s="769"/>
      <c r="G24" s="426" t="s">
        <v>7</v>
      </c>
      <c r="H24" s="426" t="s">
        <v>7</v>
      </c>
      <c r="I24" s="426" t="s">
        <v>7</v>
      </c>
    </row>
    <row r="25" spans="1:9" ht="34.5" customHeight="1">
      <c r="A25" s="171" t="s">
        <v>3</v>
      </c>
      <c r="B25" s="755" t="s">
        <v>518</v>
      </c>
      <c r="C25" s="756"/>
      <c r="D25" s="756"/>
      <c r="E25" s="756"/>
      <c r="F25" s="759"/>
      <c r="G25" s="472">
        <f>G16</f>
        <v>1730.75</v>
      </c>
      <c r="H25" s="472">
        <f>H16</f>
        <v>1730.75</v>
      </c>
      <c r="I25" s="472">
        <f>I16</f>
        <v>1730.75</v>
      </c>
    </row>
    <row r="26" spans="1:9" ht="18" customHeight="1">
      <c r="A26" s="171" t="s">
        <v>216</v>
      </c>
      <c r="B26" s="757" t="s">
        <v>231</v>
      </c>
      <c r="C26" s="758"/>
      <c r="D26" s="758"/>
      <c r="E26" s="758"/>
      <c r="F26" s="451"/>
      <c r="G26" s="452"/>
      <c r="H26" s="453"/>
      <c r="I26" s="453"/>
    </row>
    <row r="27" spans="1:9" ht="18" customHeight="1">
      <c r="A27" s="171" t="s">
        <v>218</v>
      </c>
      <c r="B27" s="739" t="s">
        <v>231</v>
      </c>
      <c r="C27" s="740"/>
      <c r="D27" s="740"/>
      <c r="E27" s="740"/>
      <c r="F27" s="454"/>
      <c r="G27" s="452"/>
      <c r="H27" s="453"/>
      <c r="I27" s="453"/>
    </row>
    <row r="28" spans="1:9" ht="22" customHeight="1">
      <c r="A28" s="743" t="s">
        <v>232</v>
      </c>
      <c r="B28" s="744"/>
      <c r="C28" s="744"/>
      <c r="D28" s="744"/>
      <c r="E28" s="744"/>
      <c r="F28" s="745"/>
      <c r="G28" s="257">
        <f>ROUND(SUM(G25:G27),2)</f>
        <v>1730.75</v>
      </c>
      <c r="H28" s="257">
        <f>ROUND(SUM(H25:H27),2)</f>
        <v>1730.75</v>
      </c>
      <c r="I28" s="257">
        <f>ROUND(SUM(I25:I27),2)</f>
        <v>1730.75</v>
      </c>
    </row>
    <row r="29" spans="1:9" ht="7.5" customHeight="1">
      <c r="A29" s="258"/>
      <c r="B29" s="259"/>
      <c r="C29" s="259"/>
      <c r="D29" s="259"/>
      <c r="E29" s="259"/>
      <c r="F29" s="259"/>
      <c r="G29" s="259"/>
      <c r="H29" s="259"/>
      <c r="I29" s="260"/>
    </row>
    <row r="30" spans="1:9" s="261" customFormat="1" ht="21.65" customHeight="1">
      <c r="A30" s="559" t="s">
        <v>233</v>
      </c>
      <c r="B30" s="560"/>
      <c r="C30" s="560"/>
      <c r="D30" s="560"/>
      <c r="E30" s="560"/>
      <c r="F30" s="560"/>
      <c r="G30" s="560"/>
      <c r="H30" s="560"/>
      <c r="I30" s="561"/>
    </row>
    <row r="31" spans="1:9" s="261" customFormat="1" ht="45" customHeight="1">
      <c r="A31" s="262"/>
      <c r="B31" s="263"/>
      <c r="C31" s="263"/>
      <c r="D31" s="263"/>
      <c r="E31" s="263"/>
      <c r="F31" s="264"/>
      <c r="G31" s="424" t="s">
        <v>530</v>
      </c>
      <c r="H31" s="425" t="s">
        <v>534</v>
      </c>
      <c r="I31" s="424" t="s">
        <v>535</v>
      </c>
    </row>
    <row r="32" spans="1:9" s="261" customFormat="1" ht="19.5" customHeight="1">
      <c r="A32" s="760" t="s">
        <v>234</v>
      </c>
      <c r="B32" s="761"/>
      <c r="C32" s="761"/>
      <c r="D32" s="761"/>
      <c r="E32" s="761"/>
      <c r="F32" s="761"/>
      <c r="G32" s="761"/>
      <c r="H32" s="761"/>
      <c r="I32" s="762"/>
    </row>
    <row r="33" spans="1:834" s="270" customFormat="1" ht="19.5" customHeight="1">
      <c r="A33" s="265"/>
      <c r="B33" s="266"/>
      <c r="C33" s="266"/>
      <c r="D33" s="266"/>
      <c r="E33" s="267"/>
      <c r="F33" s="268" t="s">
        <v>8</v>
      </c>
      <c r="G33" s="269" t="s">
        <v>7</v>
      </c>
      <c r="H33" s="269" t="s">
        <v>7</v>
      </c>
      <c r="I33" s="269" t="s">
        <v>7</v>
      </c>
      <c r="AFA33" s="66"/>
      <c r="AFB33" s="66"/>
    </row>
    <row r="34" spans="1:834" ht="19.5" customHeight="1">
      <c r="A34" s="271" t="s">
        <v>3</v>
      </c>
      <c r="B34" s="83" t="s">
        <v>235</v>
      </c>
      <c r="C34" s="84"/>
      <c r="D34" s="84"/>
      <c r="E34" s="85"/>
      <c r="F34" s="96">
        <v>8.3299999999999999E-2</v>
      </c>
      <c r="G34" s="272">
        <f>ROUND($F$34*G28,2)</f>
        <v>144.16999999999999</v>
      </c>
      <c r="H34" s="272">
        <f>ROUND($F$34*H28,2)</f>
        <v>144.16999999999999</v>
      </c>
      <c r="I34" s="272">
        <f>ROUND($F$34*I28,2)</f>
        <v>144.16999999999999</v>
      </c>
    </row>
    <row r="35" spans="1:834" ht="19.5" customHeight="1">
      <c r="A35" s="171" t="s">
        <v>4</v>
      </c>
      <c r="B35" s="273" t="s">
        <v>236</v>
      </c>
      <c r="C35" s="274"/>
      <c r="D35" s="274"/>
      <c r="E35" s="170"/>
      <c r="F35" s="275">
        <v>3.0249999999999999E-2</v>
      </c>
      <c r="G35" s="272">
        <f>ROUND($F$35*G28,2)</f>
        <v>52.36</v>
      </c>
      <c r="H35" s="272">
        <f>ROUND($F$35*H28,2)</f>
        <v>52.36</v>
      </c>
      <c r="I35" s="272">
        <f>ROUND($F$35*I28,2)</f>
        <v>52.36</v>
      </c>
    </row>
    <row r="36" spans="1:834" ht="19.5" customHeight="1">
      <c r="A36" s="746" t="s">
        <v>237</v>
      </c>
      <c r="B36" s="747"/>
      <c r="C36" s="747"/>
      <c r="D36" s="747"/>
      <c r="E36" s="748"/>
      <c r="F36" s="276">
        <f>SUM(F34:F35)</f>
        <v>0.11360000000000001</v>
      </c>
      <c r="G36" s="277">
        <f>ROUND(SUM(G34:G35),2)</f>
        <v>196.53</v>
      </c>
      <c r="H36" s="278">
        <f t="shared" ref="H36:I36" si="0">ROUND(SUM(H34:H35),2)</f>
        <v>196.53</v>
      </c>
      <c r="I36" s="278">
        <f t="shared" si="0"/>
        <v>196.53</v>
      </c>
    </row>
    <row r="37" spans="1:834" ht="6.75" customHeight="1">
      <c r="A37" s="279"/>
      <c r="B37" s="280"/>
      <c r="C37" s="280"/>
      <c r="D37" s="280"/>
      <c r="E37" s="280"/>
      <c r="F37" s="280"/>
      <c r="G37" s="280"/>
    </row>
    <row r="38" spans="1:834" ht="19.5" customHeight="1">
      <c r="A38" s="752" t="s">
        <v>238</v>
      </c>
      <c r="B38" s="752"/>
      <c r="C38" s="752"/>
      <c r="D38" s="752"/>
      <c r="E38" s="752"/>
      <c r="F38" s="752"/>
      <c r="G38" s="752"/>
      <c r="H38" s="752"/>
      <c r="I38" s="752"/>
    </row>
    <row r="39" spans="1:834" s="270" customFormat="1" ht="19.5" customHeight="1">
      <c r="A39" s="265"/>
      <c r="B39" s="263"/>
      <c r="C39" s="263"/>
      <c r="D39" s="263"/>
      <c r="E39" s="264"/>
      <c r="F39" s="427" t="s">
        <v>8</v>
      </c>
      <c r="G39" s="428" t="s">
        <v>7</v>
      </c>
      <c r="H39" s="428" t="s">
        <v>7</v>
      </c>
      <c r="I39" s="428" t="s">
        <v>7</v>
      </c>
      <c r="AFA39" s="66"/>
      <c r="AFB39" s="66"/>
    </row>
    <row r="40" spans="1:834" ht="19.5" customHeight="1">
      <c r="A40" s="271" t="s">
        <v>3</v>
      </c>
      <c r="B40" s="281" t="s">
        <v>208</v>
      </c>
      <c r="C40" s="93"/>
      <c r="D40" s="93"/>
      <c r="E40" s="282"/>
      <c r="F40" s="96">
        <v>0.2</v>
      </c>
      <c r="G40" s="251">
        <f>ROUND(F40*$G$28,2)</f>
        <v>346.15</v>
      </c>
      <c r="H40" s="44">
        <f t="shared" ref="H40:H47" si="1">ROUND(F40*$H$28,2)</f>
        <v>346.15</v>
      </c>
      <c r="I40" s="44">
        <f t="shared" ref="I40:I47" si="2">ROUND(F40*$I$28,2)</f>
        <v>346.15</v>
      </c>
    </row>
    <row r="41" spans="1:834" ht="19.5" customHeight="1">
      <c r="A41" s="171" t="s">
        <v>4</v>
      </c>
      <c r="B41" s="83" t="s">
        <v>239</v>
      </c>
      <c r="C41" s="84"/>
      <c r="D41" s="84"/>
      <c r="E41" s="85"/>
      <c r="F41" s="96">
        <v>2.5000000000000001E-2</v>
      </c>
      <c r="G41" s="251">
        <f t="shared" ref="G41:G47" si="3">ROUND(F41*$G$28,2)</f>
        <v>43.27</v>
      </c>
      <c r="H41" s="44">
        <f t="shared" si="1"/>
        <v>43.27</v>
      </c>
      <c r="I41" s="44">
        <f t="shared" si="2"/>
        <v>43.27</v>
      </c>
    </row>
    <row r="42" spans="1:834" ht="19.5" customHeight="1">
      <c r="A42" s="171" t="s">
        <v>5</v>
      </c>
      <c r="B42" s="749" t="s">
        <v>240</v>
      </c>
      <c r="C42" s="750"/>
      <c r="D42" s="750"/>
      <c r="E42" s="751"/>
      <c r="F42" s="455">
        <v>0.03</v>
      </c>
      <c r="G42" s="251">
        <f t="shared" si="3"/>
        <v>51.92</v>
      </c>
      <c r="H42" s="44">
        <f t="shared" si="1"/>
        <v>51.92</v>
      </c>
      <c r="I42" s="44">
        <f t="shared" si="2"/>
        <v>51.92</v>
      </c>
    </row>
    <row r="43" spans="1:834" ht="19.5" customHeight="1">
      <c r="A43" s="171" t="s">
        <v>216</v>
      </c>
      <c r="B43" s="83" t="s">
        <v>241</v>
      </c>
      <c r="C43" s="84"/>
      <c r="D43" s="84"/>
      <c r="E43" s="85"/>
      <c r="F43" s="96">
        <v>1.4999999999999999E-2</v>
      </c>
      <c r="G43" s="251">
        <f t="shared" si="3"/>
        <v>25.96</v>
      </c>
      <c r="H43" s="44">
        <f t="shared" si="1"/>
        <v>25.96</v>
      </c>
      <c r="I43" s="44">
        <f t="shared" si="2"/>
        <v>25.96</v>
      </c>
    </row>
    <row r="44" spans="1:834" ht="19.5" customHeight="1">
      <c r="A44" s="171" t="s">
        <v>218</v>
      </c>
      <c r="B44" s="83" t="s">
        <v>242</v>
      </c>
      <c r="C44" s="84"/>
      <c r="D44" s="84"/>
      <c r="E44" s="85"/>
      <c r="F44" s="96">
        <v>0.01</v>
      </c>
      <c r="G44" s="251">
        <f t="shared" si="3"/>
        <v>17.309999999999999</v>
      </c>
      <c r="H44" s="44">
        <f t="shared" si="1"/>
        <v>17.309999999999999</v>
      </c>
      <c r="I44" s="44">
        <f t="shared" si="2"/>
        <v>17.309999999999999</v>
      </c>
    </row>
    <row r="45" spans="1:834" ht="19.5" customHeight="1">
      <c r="A45" s="171" t="s">
        <v>221</v>
      </c>
      <c r="B45" s="83" t="s">
        <v>243</v>
      </c>
      <c r="C45" s="84"/>
      <c r="D45" s="84"/>
      <c r="E45" s="85"/>
      <c r="F45" s="96">
        <v>6.0000000000000001E-3</v>
      </c>
      <c r="G45" s="251">
        <f t="shared" si="3"/>
        <v>10.38</v>
      </c>
      <c r="H45" s="44">
        <f t="shared" si="1"/>
        <v>10.38</v>
      </c>
      <c r="I45" s="44">
        <f t="shared" si="2"/>
        <v>10.38</v>
      </c>
    </row>
    <row r="46" spans="1:834" ht="19.5" customHeight="1">
      <c r="A46" s="171" t="s">
        <v>223</v>
      </c>
      <c r="B46" s="83" t="s">
        <v>244</v>
      </c>
      <c r="C46" s="84"/>
      <c r="D46" s="84"/>
      <c r="E46" s="85"/>
      <c r="F46" s="96">
        <v>2E-3</v>
      </c>
      <c r="G46" s="251">
        <f t="shared" si="3"/>
        <v>3.46</v>
      </c>
      <c r="H46" s="44">
        <f t="shared" si="1"/>
        <v>3.46</v>
      </c>
      <c r="I46" s="44">
        <f t="shared" si="2"/>
        <v>3.46</v>
      </c>
    </row>
    <row r="47" spans="1:834" ht="19.5" customHeight="1">
      <c r="A47" s="171" t="s">
        <v>225</v>
      </c>
      <c r="B47" s="273" t="s">
        <v>245</v>
      </c>
      <c r="C47" s="274"/>
      <c r="D47" s="274"/>
      <c r="E47" s="170"/>
      <c r="F47" s="96">
        <v>0.08</v>
      </c>
      <c r="G47" s="251">
        <f t="shared" si="3"/>
        <v>138.46</v>
      </c>
      <c r="H47" s="44">
        <f t="shared" si="1"/>
        <v>138.46</v>
      </c>
      <c r="I47" s="44">
        <f t="shared" si="2"/>
        <v>138.46</v>
      </c>
    </row>
    <row r="48" spans="1:834" ht="19" customHeight="1">
      <c r="A48" s="752" t="s">
        <v>246</v>
      </c>
      <c r="B48" s="752"/>
      <c r="C48" s="752"/>
      <c r="D48" s="752"/>
      <c r="E48" s="752"/>
      <c r="F48" s="283">
        <f>SUM(F40:F47)</f>
        <v>0.36799999999999999</v>
      </c>
      <c r="G48" s="284">
        <f>ROUND(SUM(G40:G47),2)</f>
        <v>636.91</v>
      </c>
      <c r="H48" s="284">
        <f t="shared" ref="H48:I48" si="4">ROUND(SUM(H40:H47),2)</f>
        <v>636.91</v>
      </c>
      <c r="I48" s="284">
        <f t="shared" si="4"/>
        <v>636.91</v>
      </c>
    </row>
    <row r="49" spans="1:9" ht="5.25" customHeight="1">
      <c r="A49" s="105"/>
      <c r="B49" s="105"/>
      <c r="C49" s="105"/>
      <c r="D49" s="105"/>
      <c r="E49" s="105"/>
      <c r="F49" s="105"/>
      <c r="G49" s="105"/>
    </row>
    <row r="50" spans="1:9" ht="19.5" customHeight="1">
      <c r="A50" s="752" t="s">
        <v>247</v>
      </c>
      <c r="B50" s="752"/>
      <c r="C50" s="752"/>
      <c r="D50" s="752"/>
      <c r="E50" s="752"/>
      <c r="F50" s="752"/>
      <c r="G50" s="752"/>
      <c r="H50" s="752"/>
      <c r="I50" s="752"/>
    </row>
    <row r="51" spans="1:9" ht="19.5" customHeight="1">
      <c r="A51" s="265"/>
      <c r="B51" s="263"/>
      <c r="C51" s="263"/>
      <c r="D51" s="263"/>
      <c r="E51" s="263"/>
      <c r="F51" s="264"/>
      <c r="G51" s="430" t="s">
        <v>7</v>
      </c>
      <c r="H51" s="428" t="s">
        <v>7</v>
      </c>
      <c r="I51" s="428" t="s">
        <v>7</v>
      </c>
    </row>
    <row r="52" spans="1:9" ht="19.5" customHeight="1">
      <c r="A52" s="285" t="s">
        <v>3</v>
      </c>
      <c r="B52" s="741" t="s">
        <v>248</v>
      </c>
      <c r="C52" s="741"/>
      <c r="D52" s="741"/>
      <c r="E52" s="741"/>
      <c r="F52" s="741"/>
      <c r="G52" s="272">
        <f>ROUND(('Benefícios e Outros Dados'!F16-'Benefícios e Outros Dados'!F17)*'Benefícios e Outros Dados'!$K$13,2)</f>
        <v>472.5</v>
      </c>
      <c r="H52" s="44">
        <f>ROUND(('Benefícios e Outros Dados'!F30-'Benefícios e Outros Dados'!F31)*'Benefícios e Outros Dados'!K13,2)</f>
        <v>472.5</v>
      </c>
      <c r="I52" s="44">
        <f>ROUND(('Benefícios e Outros Dados'!F32-'Benefícios e Outros Dados'!F33)*'Benefícios e Outros Dados'!K13,2)</f>
        <v>472.5</v>
      </c>
    </row>
    <row r="53" spans="1:9" ht="19.5" customHeight="1">
      <c r="A53" s="34" t="s">
        <v>4</v>
      </c>
      <c r="B53" s="737" t="s">
        <v>10</v>
      </c>
      <c r="C53" s="738"/>
      <c r="D53" s="738"/>
      <c r="E53" s="738"/>
      <c r="F53" s="738"/>
      <c r="G53" s="286">
        <f>ROUND((('Benefícios e Outros Dados'!I16*'Benefícios e Outros Dados'!I17)*'Benefícios e Outros Dados'!K13)-(0.06*G25),2)</f>
        <v>162.86000000000001</v>
      </c>
      <c r="H53" s="44">
        <f>ROUND((('Benefícios e Outros Dados'!I30*'Benefícios e Outros Dados'!I31)*'Benefícios e Outros Dados'!K13)-(0.06*H25),2)</f>
        <v>43.16</v>
      </c>
      <c r="I53" s="44">
        <f>IF(('Benefícios e Outros Dados'!I32*'Benefícios e Outros Dados'!I33*'Benefícios e Outros Dados'!K13)&lt;=(0.06*I25),0,ROUND((('Benefícios e Outros Dados'!I32*'Benefícios e Outros Dados'!I33)*'Benefícios e Outros Dados'!K13)-(0.06*I25),2))</f>
        <v>0</v>
      </c>
    </row>
    <row r="54" spans="1:9" ht="19.5" customHeight="1">
      <c r="A54" s="34" t="s">
        <v>223</v>
      </c>
      <c r="B54" s="287" t="s">
        <v>312</v>
      </c>
      <c r="C54" s="288"/>
      <c r="D54" s="288"/>
      <c r="E54" s="288"/>
      <c r="F54" s="288"/>
      <c r="G54" s="272">
        <f>'Benefícios e Outros Dados'!K16</f>
        <v>21.6</v>
      </c>
      <c r="H54" s="44">
        <f>'Benefícios e Outros Dados'!K30</f>
        <v>21.6</v>
      </c>
      <c r="I54" s="44">
        <f>'Benefícios e Outros Dados'!K32</f>
        <v>21.6</v>
      </c>
    </row>
    <row r="55" spans="1:9" ht="19.5" customHeight="1">
      <c r="A55" s="34" t="s">
        <v>225</v>
      </c>
      <c r="B55" s="739" t="s">
        <v>231</v>
      </c>
      <c r="C55" s="740"/>
      <c r="D55" s="740"/>
      <c r="E55" s="740"/>
      <c r="F55" s="740"/>
      <c r="G55" s="453"/>
      <c r="H55" s="453"/>
      <c r="I55" s="453"/>
    </row>
    <row r="56" spans="1:9" ht="19.5" customHeight="1">
      <c r="A56" s="34" t="s">
        <v>226</v>
      </c>
      <c r="B56" s="739" t="s">
        <v>231</v>
      </c>
      <c r="C56" s="740"/>
      <c r="D56" s="740"/>
      <c r="E56" s="740"/>
      <c r="F56" s="740"/>
      <c r="G56" s="453"/>
      <c r="H56" s="453"/>
      <c r="I56" s="453"/>
    </row>
    <row r="57" spans="1:9" ht="19.5" customHeight="1">
      <c r="A57" s="760" t="s">
        <v>249</v>
      </c>
      <c r="B57" s="761"/>
      <c r="C57" s="761"/>
      <c r="D57" s="761"/>
      <c r="E57" s="761"/>
      <c r="F57" s="762"/>
      <c r="G57" s="278">
        <f>ROUND(SUM(G52:G56),2)</f>
        <v>656.96</v>
      </c>
      <c r="H57" s="278">
        <f t="shared" ref="H57:I57" si="5">ROUND(SUM(H52:H56),2)</f>
        <v>537.26</v>
      </c>
      <c r="I57" s="278">
        <f t="shared" si="5"/>
        <v>494.1</v>
      </c>
    </row>
    <row r="58" spans="1:9" ht="22" customHeight="1">
      <c r="A58" s="743" t="s">
        <v>250</v>
      </c>
      <c r="B58" s="763"/>
      <c r="C58" s="763"/>
      <c r="D58" s="763"/>
      <c r="E58" s="763"/>
      <c r="F58" s="764"/>
      <c r="G58" s="257">
        <f>ROUND(SUM(G57,G48,G36),2)</f>
        <v>1490.4</v>
      </c>
      <c r="H58" s="257">
        <f t="shared" ref="H58:I58" si="6">ROUND(SUM(H57,H48,H36),2)</f>
        <v>1370.7</v>
      </c>
      <c r="I58" s="257">
        <f t="shared" si="6"/>
        <v>1327.54</v>
      </c>
    </row>
    <row r="59" spans="1:9" ht="6.75" customHeight="1">
      <c r="A59" s="258"/>
      <c r="B59" s="259"/>
      <c r="C59" s="259"/>
      <c r="D59" s="259"/>
      <c r="E59" s="259"/>
      <c r="F59" s="259"/>
      <c r="G59" s="259"/>
      <c r="H59" s="259"/>
      <c r="I59" s="260"/>
    </row>
    <row r="60" spans="1:9" s="261" customFormat="1" ht="21.65" customHeight="1">
      <c r="A60" s="559" t="s">
        <v>251</v>
      </c>
      <c r="B60" s="560"/>
      <c r="C60" s="560"/>
      <c r="D60" s="560"/>
      <c r="E60" s="560"/>
      <c r="F60" s="560"/>
      <c r="G60" s="560"/>
      <c r="H60" s="560"/>
      <c r="I60" s="561"/>
    </row>
    <row r="61" spans="1:9" s="261" customFormat="1" ht="43" customHeight="1">
      <c r="A61" s="765"/>
      <c r="B61" s="765"/>
      <c r="C61" s="765"/>
      <c r="D61" s="765"/>
      <c r="E61" s="765"/>
      <c r="F61" s="765"/>
      <c r="G61" s="424" t="s">
        <v>530</v>
      </c>
      <c r="H61" s="425" t="s">
        <v>534</v>
      </c>
      <c r="I61" s="424" t="s">
        <v>535</v>
      </c>
    </row>
    <row r="62" spans="1:9" s="261" customFormat="1" ht="19.5" customHeight="1">
      <c r="A62" s="766"/>
      <c r="B62" s="766"/>
      <c r="C62" s="766"/>
      <c r="D62" s="766"/>
      <c r="E62" s="766"/>
      <c r="F62" s="766"/>
      <c r="G62" s="431" t="s">
        <v>7</v>
      </c>
      <c r="H62" s="426" t="s">
        <v>7</v>
      </c>
      <c r="I62" s="426" t="s">
        <v>7</v>
      </c>
    </row>
    <row r="63" spans="1:9" ht="19.5" customHeight="1">
      <c r="A63" s="767" t="s">
        <v>3</v>
      </c>
      <c r="B63" s="792" t="s">
        <v>252</v>
      </c>
      <c r="C63" s="793"/>
      <c r="D63" s="793"/>
      <c r="E63" s="793"/>
      <c r="F63" s="794"/>
      <c r="G63" s="742">
        <f>ROUND(((G28+G34+G35+G101)/12)*(30/30)*$E$64,2)</f>
        <v>9.64</v>
      </c>
      <c r="H63" s="742">
        <f>ROUND(((H28+H34+H35+H101)/12)*(30/30)*$E$64,2)</f>
        <v>9.64</v>
      </c>
      <c r="I63" s="742">
        <f>ROUND(((I28+I34+I35+I101)/12)*(30/30)*$E$64,2)</f>
        <v>9.64</v>
      </c>
    </row>
    <row r="64" spans="1:9" ht="66.650000000000006" customHeight="1">
      <c r="A64" s="601"/>
      <c r="B64" s="753" t="s">
        <v>515</v>
      </c>
      <c r="C64" s="753"/>
      <c r="D64" s="753"/>
      <c r="E64" s="754">
        <v>5.5500000000000001E-2</v>
      </c>
      <c r="F64" s="754"/>
      <c r="G64" s="742"/>
      <c r="H64" s="742"/>
      <c r="I64" s="742"/>
    </row>
    <row r="65" spans="1:9" ht="19.5" customHeight="1">
      <c r="A65" s="34" t="s">
        <v>4</v>
      </c>
      <c r="B65" s="273" t="s">
        <v>253</v>
      </c>
      <c r="C65" s="274"/>
      <c r="D65" s="274"/>
      <c r="E65" s="274"/>
      <c r="F65" s="274"/>
      <c r="G65" s="272">
        <f>ROUND(G63*0.08,2)</f>
        <v>0.77</v>
      </c>
      <c r="H65" s="272">
        <f t="shared" ref="H65:I65" si="7">ROUND(H63*0.08,2)</f>
        <v>0.77</v>
      </c>
      <c r="I65" s="272">
        <f t="shared" si="7"/>
        <v>0.77</v>
      </c>
    </row>
    <row r="66" spans="1:9" ht="39.5" customHeight="1">
      <c r="A66" s="34" t="s">
        <v>5</v>
      </c>
      <c r="B66" s="753" t="s">
        <v>516</v>
      </c>
      <c r="C66" s="753"/>
      <c r="D66" s="753"/>
      <c r="E66" s="753"/>
      <c r="F66" s="753"/>
      <c r="G66" s="272">
        <f>ROUND((((G28+G34+G35+G101)/30)/12)*7*1,2)</f>
        <v>40.53</v>
      </c>
      <c r="H66" s="272">
        <f t="shared" ref="H66:I66" si="8">ROUND((((H28+H34+H35+H101)/30)/12)*7*1,2)</f>
        <v>40.53</v>
      </c>
      <c r="I66" s="272">
        <f t="shared" si="8"/>
        <v>40.53</v>
      </c>
    </row>
    <row r="67" spans="1:9" ht="19.5" customHeight="1">
      <c r="A67" s="34" t="s">
        <v>216</v>
      </c>
      <c r="B67" s="755" t="s">
        <v>254</v>
      </c>
      <c r="C67" s="756"/>
      <c r="D67" s="756"/>
      <c r="E67" s="756"/>
      <c r="F67" s="759"/>
      <c r="G67" s="272">
        <f>ROUND($F$48*G66,2)</f>
        <v>14.92</v>
      </c>
      <c r="H67" s="272">
        <f>ROUND($F$48*H66,2)</f>
        <v>14.92</v>
      </c>
      <c r="I67" s="272">
        <f>ROUND($F$48*I66,2)</f>
        <v>14.92</v>
      </c>
    </row>
    <row r="68" spans="1:9" ht="19.5" customHeight="1">
      <c r="A68" s="34" t="s">
        <v>218</v>
      </c>
      <c r="B68" s="755" t="s">
        <v>255</v>
      </c>
      <c r="C68" s="756"/>
      <c r="D68" s="756"/>
      <c r="E68" s="756"/>
      <c r="F68" s="759"/>
      <c r="G68" s="272">
        <f>ROUND(0.04*G28,2)</f>
        <v>69.23</v>
      </c>
      <c r="H68" s="272">
        <f t="shared" ref="H68:I68" si="9">ROUND(0.04*H28,2)</f>
        <v>69.23</v>
      </c>
      <c r="I68" s="272">
        <f t="shared" si="9"/>
        <v>69.23</v>
      </c>
    </row>
    <row r="69" spans="1:9" ht="21.75" customHeight="1">
      <c r="A69" s="743" t="s">
        <v>256</v>
      </c>
      <c r="B69" s="763"/>
      <c r="C69" s="763"/>
      <c r="D69" s="763"/>
      <c r="E69" s="763"/>
      <c r="F69" s="764"/>
      <c r="G69" s="257">
        <f>ROUND(SUM(G63:G68),2)</f>
        <v>135.09</v>
      </c>
      <c r="H69" s="257">
        <f t="shared" ref="H69:I69" si="10">ROUND(SUM(H63:H68),2)</f>
        <v>135.09</v>
      </c>
      <c r="I69" s="257">
        <f t="shared" si="10"/>
        <v>135.09</v>
      </c>
    </row>
    <row r="70" spans="1:9" ht="6.75" customHeight="1">
      <c r="A70" s="290"/>
      <c r="B70" s="291"/>
      <c r="C70" s="291"/>
      <c r="D70" s="291"/>
      <c r="E70" s="291"/>
      <c r="F70" s="291"/>
      <c r="G70" s="291"/>
      <c r="H70" s="291"/>
      <c r="I70" s="292"/>
    </row>
    <row r="71" spans="1:9" ht="21.65" customHeight="1">
      <c r="A71" s="559" t="s">
        <v>257</v>
      </c>
      <c r="B71" s="560"/>
      <c r="C71" s="560"/>
      <c r="D71" s="560"/>
      <c r="E71" s="560"/>
      <c r="F71" s="560"/>
      <c r="G71" s="560"/>
      <c r="H71" s="560"/>
      <c r="I71" s="561"/>
    </row>
    <row r="72" spans="1:9" s="261" customFormat="1" ht="45" customHeight="1">
      <c r="A72" s="795"/>
      <c r="B72" s="796"/>
      <c r="C72" s="796"/>
      <c r="D72" s="796"/>
      <c r="E72" s="796"/>
      <c r="F72" s="547"/>
      <c r="G72" s="424" t="s">
        <v>530</v>
      </c>
      <c r="H72" s="425" t="s">
        <v>534</v>
      </c>
      <c r="I72" s="424" t="s">
        <v>535</v>
      </c>
    </row>
    <row r="73" spans="1:9" ht="19.5" customHeight="1">
      <c r="A73" s="797"/>
      <c r="B73" s="785"/>
      <c r="C73" s="785"/>
      <c r="D73" s="785"/>
      <c r="E73" s="785"/>
      <c r="F73" s="786"/>
      <c r="G73" s="432" t="s">
        <v>7</v>
      </c>
      <c r="H73" s="426" t="s">
        <v>7</v>
      </c>
      <c r="I73" s="426" t="s">
        <v>7</v>
      </c>
    </row>
    <row r="74" spans="1:9" ht="48" customHeight="1">
      <c r="A74" s="767" t="s">
        <v>3</v>
      </c>
      <c r="B74" s="790" t="s">
        <v>258</v>
      </c>
      <c r="C74" s="243" t="s">
        <v>259</v>
      </c>
      <c r="D74" s="50" t="s">
        <v>341</v>
      </c>
      <c r="E74" s="243" t="s">
        <v>260</v>
      </c>
      <c r="F74" s="50" t="s">
        <v>519</v>
      </c>
      <c r="G74" s="782">
        <f>ROUND(((($G$28+$G$58-$G$52-$G$53+$G$69)/30)*F75)/$E$19,2)</f>
        <v>7.56</v>
      </c>
      <c r="H74" s="732">
        <f>ROUND(((($H$28+$H$58-$H$52-$H$53+$H$69)/30)*F75)/$E$19,2)</f>
        <v>7.56</v>
      </c>
      <c r="I74" s="732">
        <f>ROUND(((($I$28+$I$58-$I$52-$I$53+$I$69)/30)*F75)/$E$19,2)</f>
        <v>7.56</v>
      </c>
    </row>
    <row r="75" spans="1:9" ht="19.5" customHeight="1">
      <c r="A75" s="601"/>
      <c r="B75" s="791"/>
      <c r="C75" s="456">
        <v>1</v>
      </c>
      <c r="D75" s="243">
        <f>ROUND((1*E19)/12,2)</f>
        <v>5</v>
      </c>
      <c r="E75" s="294">
        <v>1</v>
      </c>
      <c r="F75" s="243">
        <f>C75*D75*E75</f>
        <v>5</v>
      </c>
      <c r="G75" s="783"/>
      <c r="H75" s="732"/>
      <c r="I75" s="732"/>
    </row>
    <row r="76" spans="1:9" ht="46.5" customHeight="1">
      <c r="A76" s="767" t="s">
        <v>4</v>
      </c>
      <c r="B76" s="790" t="s">
        <v>261</v>
      </c>
      <c r="C76" s="243" t="s">
        <v>259</v>
      </c>
      <c r="D76" s="50" t="s">
        <v>341</v>
      </c>
      <c r="E76" s="243" t="s">
        <v>260</v>
      </c>
      <c r="F76" s="50" t="s">
        <v>519</v>
      </c>
      <c r="G76" s="782">
        <f t="shared" ref="G76" si="11">ROUND(((($G$28+$G$58-$G$52-$G$53+$G$69)/30)*F77)/$E$19,2)</f>
        <v>7.22</v>
      </c>
      <c r="H76" s="732">
        <f t="shared" ref="H76" si="12">ROUND(((($H$28+$H$58-$H$52-$H$53+$H$69)/30)*F77)/$E$19,2)</f>
        <v>7.22</v>
      </c>
      <c r="I76" s="732">
        <f t="shared" ref="I76" si="13">ROUND(((($I$28+$I$58-$I$52-$I$53+$I$69)/30)*F77)/$E$19,2)</f>
        <v>7.22</v>
      </c>
    </row>
    <row r="77" spans="1:9" ht="19.5" customHeight="1">
      <c r="A77" s="601"/>
      <c r="B77" s="791"/>
      <c r="C77" s="456">
        <v>9.2200000000000004E-2</v>
      </c>
      <c r="D77" s="243">
        <f>ROUND((15*E19)/12,2)</f>
        <v>75</v>
      </c>
      <c r="E77" s="294">
        <f>ROUND((252/365),4)</f>
        <v>0.69040000000000001</v>
      </c>
      <c r="F77" s="243">
        <f>ROUND(C77*D77*E77,4)</f>
        <v>4.7740999999999998</v>
      </c>
      <c r="G77" s="783"/>
      <c r="H77" s="732"/>
      <c r="I77" s="732"/>
    </row>
    <row r="78" spans="1:9" ht="46" customHeight="1">
      <c r="A78" s="767" t="s">
        <v>5</v>
      </c>
      <c r="B78" s="790" t="s">
        <v>262</v>
      </c>
      <c r="C78" s="243" t="s">
        <v>259</v>
      </c>
      <c r="D78" s="50" t="s">
        <v>341</v>
      </c>
      <c r="E78" s="243" t="s">
        <v>260</v>
      </c>
      <c r="F78" s="50" t="s">
        <v>519</v>
      </c>
      <c r="G78" s="782">
        <f t="shared" ref="G78" si="14">ROUND(((($G$28+$G$58-$G$52-$G$53+$G$69)/30)*F79)/$E$19,2)</f>
        <v>26.09</v>
      </c>
      <c r="H78" s="732">
        <f t="shared" ref="H78" si="15">ROUND(((($H$28+$H$58-$H$52-$H$53+$H$69)/30)*F79)/$E$19,2)</f>
        <v>26.09</v>
      </c>
      <c r="I78" s="732">
        <f t="shared" ref="I78" si="16">ROUND(((($I$28+$I$58-$I$52-$I$53+$I$69)/30)*F79)/$E$19,2)</f>
        <v>26.09</v>
      </c>
    </row>
    <row r="79" spans="1:9" ht="19.5" customHeight="1">
      <c r="A79" s="601"/>
      <c r="B79" s="791"/>
      <c r="C79" s="456">
        <v>1</v>
      </c>
      <c r="D79" s="243">
        <f>ROUND((5*E19)/12,2)</f>
        <v>25</v>
      </c>
      <c r="E79" s="294">
        <f>ROUND((252/365),4)</f>
        <v>0.69040000000000001</v>
      </c>
      <c r="F79" s="243">
        <f>ROUND(C79*D79*E79,4)</f>
        <v>17.260000000000002</v>
      </c>
      <c r="G79" s="783"/>
      <c r="H79" s="732"/>
      <c r="I79" s="732"/>
    </row>
    <row r="80" spans="1:9" ht="46" customHeight="1">
      <c r="A80" s="767" t="s">
        <v>216</v>
      </c>
      <c r="B80" s="790" t="s">
        <v>263</v>
      </c>
      <c r="C80" s="243" t="s">
        <v>259</v>
      </c>
      <c r="D80" s="50" t="s">
        <v>341</v>
      </c>
      <c r="E80" s="243" t="s">
        <v>260</v>
      </c>
      <c r="F80" s="50" t="s">
        <v>519</v>
      </c>
      <c r="G80" s="782">
        <f t="shared" ref="G80" si="17">ROUND(((($G$28+$G$58-$G$52-$G$53+$G$69)/30)*F81)/$E$19,2)</f>
        <v>2.0299999999999998</v>
      </c>
      <c r="H80" s="732">
        <f t="shared" ref="H80" si="18">ROUND(((($H$28+$H$58-$H$52-$H$53+$H$69)/30)*F81)/$E$19,2)</f>
        <v>2.0299999999999998</v>
      </c>
      <c r="I80" s="732">
        <f t="shared" ref="I80" si="19">ROUND(((($I$28+$I$58-$I$52-$I$53+$I$69)/30)*F81)/$E$19,2)</f>
        <v>2.0299999999999998</v>
      </c>
    </row>
    <row r="81" spans="1:9" ht="19.5" customHeight="1">
      <c r="A81" s="601"/>
      <c r="B81" s="791"/>
      <c r="C81" s="457">
        <v>0.13439999999999999</v>
      </c>
      <c r="D81" s="243">
        <f>ROUND((2*E19)/12,2)</f>
        <v>10</v>
      </c>
      <c r="E81" s="294">
        <v>1</v>
      </c>
      <c r="F81" s="243">
        <f>ROUND(C81*D81*E81,4)</f>
        <v>1.3440000000000001</v>
      </c>
      <c r="G81" s="783"/>
      <c r="H81" s="732"/>
      <c r="I81" s="732"/>
    </row>
    <row r="82" spans="1:9" ht="47.5" customHeight="1">
      <c r="A82" s="767" t="s">
        <v>216</v>
      </c>
      <c r="B82" s="790" t="s">
        <v>264</v>
      </c>
      <c r="C82" s="243" t="s">
        <v>259</v>
      </c>
      <c r="D82" s="50" t="s">
        <v>341</v>
      </c>
      <c r="E82" s="243" t="s">
        <v>260</v>
      </c>
      <c r="F82" s="50" t="s">
        <v>519</v>
      </c>
      <c r="G82" s="782">
        <f t="shared" ref="G82" si="20">ROUND(((($G$28+$G$58-$G$52-$G$53+$G$69)/30)*F83)/$E$19,2)</f>
        <v>0.32</v>
      </c>
      <c r="H82" s="732">
        <f t="shared" ref="H82" si="21">ROUND(((($H$28+$H$58-$H$52-$H$53+$H$69)/30)*F83)/$E$19,2)</f>
        <v>0.32</v>
      </c>
      <c r="I82" s="732">
        <f t="shared" ref="I82" si="22">ROUND(((($I$28+$I$58-$I$52-$I$53+$I$69)/30)*F83)/$E$19,2)</f>
        <v>0.32</v>
      </c>
    </row>
    <row r="83" spans="1:9" ht="19.5" customHeight="1">
      <c r="A83" s="601"/>
      <c r="B83" s="791"/>
      <c r="C83" s="457">
        <v>3.0499999999999999E-2</v>
      </c>
      <c r="D83" s="243">
        <f>ROUND((2*E19)/12,2)</f>
        <v>10</v>
      </c>
      <c r="E83" s="294">
        <f>ROUND((252/365),4)</f>
        <v>0.69040000000000001</v>
      </c>
      <c r="F83" s="243">
        <f>ROUND(C83*D83*E83,4)</f>
        <v>0.21060000000000001</v>
      </c>
      <c r="G83" s="783"/>
      <c r="H83" s="732"/>
      <c r="I83" s="732"/>
    </row>
    <row r="84" spans="1:9" ht="45" customHeight="1">
      <c r="A84" s="767" t="s">
        <v>221</v>
      </c>
      <c r="B84" s="790" t="s">
        <v>265</v>
      </c>
      <c r="C84" s="243" t="s">
        <v>259</v>
      </c>
      <c r="D84" s="50" t="s">
        <v>341</v>
      </c>
      <c r="E84" s="243" t="s">
        <v>260</v>
      </c>
      <c r="F84" s="50" t="s">
        <v>519</v>
      </c>
      <c r="G84" s="782">
        <f t="shared" ref="G84" si="23">ROUND(((($G$28+$G$58-$G$52-$G$53+$G$69)/30)*F85)/$E$19,2)</f>
        <v>0.27</v>
      </c>
      <c r="H84" s="732">
        <f t="shared" ref="H84" si="24">ROUND(((($H$28+$H$58-$H$52-$H$53+$H$69)/30)*F85)/$E$19,2)</f>
        <v>0.27</v>
      </c>
      <c r="I84" s="732">
        <f t="shared" ref="I84" si="25">ROUND(((($I$28+$I$58-$I$52-$I$53+$I$69)/30)*F85)/$E$19,2)</f>
        <v>0.27</v>
      </c>
    </row>
    <row r="85" spans="1:9" ht="19.5" customHeight="1">
      <c r="A85" s="601"/>
      <c r="B85" s="791"/>
      <c r="C85" s="457">
        <v>1.18E-2</v>
      </c>
      <c r="D85" s="243">
        <f>ROUND((3*E19)/12,2)</f>
        <v>15</v>
      </c>
      <c r="E85" s="294">
        <v>1</v>
      </c>
      <c r="F85" s="243">
        <f>ROUND(C85*D85*E85,4)</f>
        <v>0.17699999999999999</v>
      </c>
      <c r="G85" s="783"/>
      <c r="H85" s="732"/>
      <c r="I85" s="732"/>
    </row>
    <row r="86" spans="1:9" ht="44.5" customHeight="1">
      <c r="A86" s="767" t="s">
        <v>223</v>
      </c>
      <c r="B86" s="790" t="s">
        <v>266</v>
      </c>
      <c r="C86" s="243" t="s">
        <v>259</v>
      </c>
      <c r="D86" s="50" t="s">
        <v>341</v>
      </c>
      <c r="E86" s="243" t="s">
        <v>260</v>
      </c>
      <c r="F86" s="50" t="s">
        <v>519</v>
      </c>
      <c r="G86" s="782">
        <f t="shared" ref="G86" si="26">ROUND(((($G$28+$G$58-$G$52-$G$53+$G$69)/30)*F87)/$E$19,2)</f>
        <v>0.15</v>
      </c>
      <c r="H86" s="732">
        <f t="shared" ref="H86" si="27">ROUND(((($H$28+$H$58-$H$52-$H$53+$H$69)/30)*F87)/$E$19,2)</f>
        <v>0.15</v>
      </c>
      <c r="I86" s="732">
        <f t="shared" ref="I86" si="28">ROUND(((($I$28+$I$58-$I$52-$I$53+$I$69)/30)*F87)/$E$19,2)</f>
        <v>0.15</v>
      </c>
    </row>
    <row r="87" spans="1:9" ht="19.5" customHeight="1">
      <c r="A87" s="601"/>
      <c r="B87" s="791"/>
      <c r="C87" s="457">
        <v>0.02</v>
      </c>
      <c r="D87" s="243">
        <f>ROUND((1*E19)/12,2)</f>
        <v>5</v>
      </c>
      <c r="E87" s="294">
        <v>1</v>
      </c>
      <c r="F87" s="243">
        <f>ROUND(C87*D87*E87,4)</f>
        <v>0.1</v>
      </c>
      <c r="G87" s="783"/>
      <c r="H87" s="732"/>
      <c r="I87" s="732"/>
    </row>
    <row r="88" spans="1:9" ht="46.5" customHeight="1">
      <c r="A88" s="767" t="s">
        <v>225</v>
      </c>
      <c r="B88" s="790" t="s">
        <v>267</v>
      </c>
      <c r="C88" s="243" t="s">
        <v>259</v>
      </c>
      <c r="D88" s="50" t="s">
        <v>341</v>
      </c>
      <c r="E88" s="243" t="s">
        <v>260</v>
      </c>
      <c r="F88" s="50" t="s">
        <v>519</v>
      </c>
      <c r="G88" s="782">
        <f t="shared" ref="G88" si="29">ROUND(((($G$28+$G$58-$G$52-$G$53+$G$69)/30)*F89)/$E$19,2)</f>
        <v>0.03</v>
      </c>
      <c r="H88" s="732">
        <f t="shared" ref="H88" si="30">ROUND(((($H$28+$H$58-$H$52-$H$53+$H$69)/30)*F89)/$E$19,2)</f>
        <v>0.03</v>
      </c>
      <c r="I88" s="732">
        <f t="shared" ref="I88" si="31">ROUND(((($I$28+$I$58-$I$52-$I$53+$I$69)/30)*F89)/$E$19,2)</f>
        <v>0.03</v>
      </c>
    </row>
    <row r="89" spans="1:9" ht="19.5" customHeight="1">
      <c r="A89" s="601"/>
      <c r="B89" s="791"/>
      <c r="C89" s="457">
        <v>4.0000000000000001E-3</v>
      </c>
      <c r="D89" s="243">
        <f>ROUND((1*E19)/12,2)</f>
        <v>5</v>
      </c>
      <c r="E89" s="294">
        <v>1</v>
      </c>
      <c r="F89" s="243">
        <f>ROUND(C89*D89*E89,4)</f>
        <v>0.02</v>
      </c>
      <c r="G89" s="783"/>
      <c r="H89" s="732"/>
      <c r="I89" s="732"/>
    </row>
    <row r="90" spans="1:9" ht="47" customHeight="1">
      <c r="A90" s="767" t="s">
        <v>226</v>
      </c>
      <c r="B90" s="790" t="s">
        <v>268</v>
      </c>
      <c r="C90" s="243" t="s">
        <v>259</v>
      </c>
      <c r="D90" s="50" t="s">
        <v>341</v>
      </c>
      <c r="E90" s="243" t="s">
        <v>260</v>
      </c>
      <c r="F90" s="50" t="s">
        <v>519</v>
      </c>
      <c r="G90" s="782">
        <f t="shared" ref="G90" si="32">ROUND(((($G$28+$G$58-$G$52-$G$53+$G$69)/30)*F91)/$E$19,2)</f>
        <v>0.37</v>
      </c>
      <c r="H90" s="732">
        <f t="shared" ref="H90" si="33">ROUND(((($H$28+$H$58-$H$52-$H$53+$H$69)/30)*F91)/$E$19,2)</f>
        <v>0.37</v>
      </c>
      <c r="I90" s="732">
        <f t="shared" ref="I90" si="34">ROUND(((($I$28+$I$58-$I$52-$I$53+$I$69)/30)*F91)/$E$19,2)</f>
        <v>0.37</v>
      </c>
    </row>
    <row r="91" spans="1:9" ht="19.5" customHeight="1">
      <c r="A91" s="601"/>
      <c r="B91" s="791"/>
      <c r="C91" s="456">
        <v>1.43E-2</v>
      </c>
      <c r="D91" s="243">
        <f>ROUND((5*E19)/12,2)</f>
        <v>25</v>
      </c>
      <c r="E91" s="294">
        <f>ROUND((252/365),4)</f>
        <v>0.69040000000000001</v>
      </c>
      <c r="F91" s="243">
        <f>ROUND(C91*D91*E91,4)</f>
        <v>0.24679999999999999</v>
      </c>
      <c r="G91" s="783"/>
      <c r="H91" s="732"/>
      <c r="I91" s="732"/>
    </row>
    <row r="92" spans="1:9" ht="46.5" customHeight="1">
      <c r="A92" s="767" t="s">
        <v>269</v>
      </c>
      <c r="B92" s="790" t="s">
        <v>270</v>
      </c>
      <c r="C92" s="243" t="s">
        <v>259</v>
      </c>
      <c r="D92" s="50" t="s">
        <v>341</v>
      </c>
      <c r="E92" s="243" t="s">
        <v>260</v>
      </c>
      <c r="F92" s="50" t="s">
        <v>519</v>
      </c>
      <c r="G92" s="782">
        <f t="shared" ref="G92" si="35">ROUND(((($G$28+$G$58-$G$52-$G$53+$G$69)/30)*F93)/$E$19,2)</f>
        <v>12.34</v>
      </c>
      <c r="H92" s="732">
        <f t="shared" ref="H92" si="36">ROUND(((($H$28+$H$58-$H$52-$H$53+$H$69)/30)*F93)/$E$19,2)</f>
        <v>12.34</v>
      </c>
      <c r="I92" s="732">
        <f t="shared" ref="I92" si="37">ROUND(((($I$28+$I$58-$I$52-$I$53+$I$69)/30)*F93)/$E$19,2)</f>
        <v>12.34</v>
      </c>
    </row>
    <row r="93" spans="1:9" ht="19.5" customHeight="1">
      <c r="A93" s="601"/>
      <c r="B93" s="791"/>
      <c r="C93" s="456">
        <v>1.9699999999999999E-2</v>
      </c>
      <c r="D93" s="243">
        <f>ROUND((120*E19)/12,2)</f>
        <v>600</v>
      </c>
      <c r="E93" s="294">
        <f>ROUND((252/365),4)</f>
        <v>0.69040000000000001</v>
      </c>
      <c r="F93" s="243">
        <f>ROUND(C93*D93*E93,4)</f>
        <v>8.1605000000000008</v>
      </c>
      <c r="G93" s="783"/>
      <c r="H93" s="732"/>
      <c r="I93" s="732"/>
    </row>
    <row r="94" spans="1:9" ht="41" customHeight="1">
      <c r="A94" s="662" t="s">
        <v>271</v>
      </c>
      <c r="B94" s="790" t="s">
        <v>272</v>
      </c>
      <c r="C94" s="243" t="s">
        <v>259</v>
      </c>
      <c r="D94" s="50" t="s">
        <v>341</v>
      </c>
      <c r="E94" s="243" t="s">
        <v>260</v>
      </c>
      <c r="F94" s="50" t="s">
        <v>519</v>
      </c>
      <c r="G94" s="782">
        <f t="shared" ref="G94" si="38">ROUND(((($G$28+$G$58-$G$52-$G$53+$G$69)/30)*F95)/$E$19,2)</f>
        <v>7.0000000000000007E-2</v>
      </c>
      <c r="H94" s="732">
        <f t="shared" ref="H94" si="39">ROUND(((($H$28+$H$58-$H$52-$H$53+$H$69)/30)*F95)/$E$19,2)</f>
        <v>7.0000000000000007E-2</v>
      </c>
      <c r="I94" s="732">
        <f t="shared" ref="I94" si="40">ROUND(((($I$28+$I$58-$I$52-$I$53+$I$69)/30)*F95)/$E$19,2)</f>
        <v>7.0000000000000007E-2</v>
      </c>
    </row>
    <row r="95" spans="1:9" ht="19.5" customHeight="1">
      <c r="A95" s="662"/>
      <c r="B95" s="791"/>
      <c r="C95" s="457">
        <v>1.6000000000000001E-3</v>
      </c>
      <c r="D95" s="243">
        <f>ROUND((6*E19)/12,2)</f>
        <v>30</v>
      </c>
      <c r="E95" s="294">
        <v>1</v>
      </c>
      <c r="F95" s="243">
        <f>ROUND(C95*D95*E95,4)</f>
        <v>4.8000000000000001E-2</v>
      </c>
      <c r="G95" s="783"/>
      <c r="H95" s="732"/>
      <c r="I95" s="732"/>
    </row>
    <row r="96" spans="1:9" ht="48" customHeight="1">
      <c r="A96" s="767" t="s">
        <v>273</v>
      </c>
      <c r="B96" s="780" t="s">
        <v>274</v>
      </c>
      <c r="C96" s="243" t="s">
        <v>259</v>
      </c>
      <c r="D96" s="50" t="s">
        <v>341</v>
      </c>
      <c r="E96" s="243" t="s">
        <v>260</v>
      </c>
      <c r="F96" s="50" t="s">
        <v>519</v>
      </c>
      <c r="G96" s="782">
        <f t="shared" ref="G96" si="41">ROUND(((($G$28+$G$58-$G$52-$G$53+$G$69)/30)*F97)/$E$19,2)</f>
        <v>0.1</v>
      </c>
      <c r="H96" s="732">
        <f t="shared" ref="H96" si="42">ROUND(((($H$28+$H$58-$H$52-$H$53+$H$69)/30)*F97)/$E$19,2)</f>
        <v>0.1</v>
      </c>
      <c r="I96" s="732">
        <f t="shared" ref="I96" si="43">ROUND(((($I$28+$I$58-$I$52-$I$53+$I$69)/30)*F97)/$E$19,2)</f>
        <v>0.1</v>
      </c>
    </row>
    <row r="97" spans="1:9" ht="19.5" customHeight="1">
      <c r="A97" s="601"/>
      <c r="B97" s="781"/>
      <c r="C97" s="458">
        <v>0.01</v>
      </c>
      <c r="D97" s="295">
        <f>ROUND((2*E19)/12,2)</f>
        <v>10</v>
      </c>
      <c r="E97" s="296">
        <f>ROUND((252/365),4)</f>
        <v>0.69040000000000001</v>
      </c>
      <c r="F97" s="295">
        <f>ROUND(C97*D97*E97,4)</f>
        <v>6.9000000000000006E-2</v>
      </c>
      <c r="G97" s="783"/>
      <c r="H97" s="732"/>
      <c r="I97" s="732"/>
    </row>
    <row r="98" spans="1:9" ht="19.5" customHeight="1">
      <c r="A98" s="271" t="s">
        <v>275</v>
      </c>
      <c r="B98" s="459" t="s">
        <v>276</v>
      </c>
      <c r="C98" s="460"/>
      <c r="D98" s="460"/>
      <c r="E98" s="460"/>
      <c r="F98" s="461"/>
      <c r="G98" s="462"/>
      <c r="H98" s="462"/>
      <c r="I98" s="462"/>
    </row>
    <row r="99" spans="1:9" ht="19.5" customHeight="1">
      <c r="A99" s="784" t="s">
        <v>277</v>
      </c>
      <c r="B99" s="785"/>
      <c r="C99" s="785"/>
      <c r="D99" s="785"/>
      <c r="E99" s="785"/>
      <c r="F99" s="786"/>
      <c r="G99" s="297">
        <f>SUM(G74:G98)</f>
        <v>56.55</v>
      </c>
      <c r="H99" s="297">
        <f t="shared" ref="H99:I99" si="44">SUM(H74:H98)</f>
        <v>56.55</v>
      </c>
      <c r="I99" s="297">
        <f t="shared" si="44"/>
        <v>56.55</v>
      </c>
    </row>
    <row r="100" spans="1:9" ht="19.5" customHeight="1">
      <c r="A100" s="285" t="s">
        <v>278</v>
      </c>
      <c r="B100" s="273" t="s">
        <v>279</v>
      </c>
      <c r="C100" s="274"/>
      <c r="D100" s="274"/>
      <c r="E100" s="274"/>
      <c r="F100" s="274"/>
      <c r="G100" s="272">
        <f>ROUND($F$48*(G99-G92),2)</f>
        <v>16.27</v>
      </c>
      <c r="H100" s="272">
        <f>ROUND($F$48*(H99-H92),2)</f>
        <v>16.27</v>
      </c>
      <c r="I100" s="272">
        <f>ROUND($F$48*(I99-I92),2)</f>
        <v>16.27</v>
      </c>
    </row>
    <row r="101" spans="1:9" ht="18.75" customHeight="1">
      <c r="A101" s="285" t="s">
        <v>280</v>
      </c>
      <c r="B101" s="483" t="s">
        <v>281</v>
      </c>
      <c r="C101" s="484"/>
      <c r="D101" s="485"/>
      <c r="E101" s="806">
        <v>9.0749999999999997E-2</v>
      </c>
      <c r="F101" s="807"/>
      <c r="G101" s="272">
        <f>ROUND($E$101*G28,2)</f>
        <v>157.07</v>
      </c>
      <c r="H101" s="272">
        <f>ROUND($E$101*H28,2)</f>
        <v>157.07</v>
      </c>
      <c r="I101" s="272">
        <f>ROUND($E$101*I28,2)</f>
        <v>157.07</v>
      </c>
    </row>
    <row r="102" spans="1:9" ht="33.75" customHeight="1">
      <c r="A102" s="285" t="s">
        <v>282</v>
      </c>
      <c r="B102" s="502" t="s">
        <v>283</v>
      </c>
      <c r="C102" s="503"/>
      <c r="D102" s="504"/>
      <c r="E102" s="808">
        <f>F48*21.19%</f>
        <v>7.8E-2</v>
      </c>
      <c r="F102" s="809"/>
      <c r="G102" s="272">
        <f>ROUND($E$102*G28,2)</f>
        <v>135</v>
      </c>
      <c r="H102" s="272">
        <f>ROUND($E$102*H28,2)</f>
        <v>135</v>
      </c>
      <c r="I102" s="272">
        <f>ROUND($E$102*I28,2)</f>
        <v>135</v>
      </c>
    </row>
    <row r="103" spans="1:9" ht="19.5" customHeight="1">
      <c r="A103" s="760" t="s">
        <v>284</v>
      </c>
      <c r="B103" s="761"/>
      <c r="C103" s="761"/>
      <c r="D103" s="761"/>
      <c r="E103" s="761"/>
      <c r="F103" s="762"/>
      <c r="G103" s="277">
        <f>SUM(G99:G102)</f>
        <v>364.89</v>
      </c>
      <c r="H103" s="278">
        <f t="shared" ref="H103:I103" si="45">SUM(H99:H102)</f>
        <v>364.89</v>
      </c>
      <c r="I103" s="278">
        <f t="shared" si="45"/>
        <v>364.89</v>
      </c>
    </row>
    <row r="104" spans="1:9" ht="4.5" customHeight="1">
      <c r="A104" s="298"/>
      <c r="B104" s="299"/>
      <c r="C104" s="299"/>
      <c r="D104" s="299"/>
      <c r="E104" s="299"/>
      <c r="F104" s="299"/>
      <c r="G104" s="299"/>
    </row>
    <row r="105" spans="1:9" ht="18.75" customHeight="1">
      <c r="A105" s="835" t="s">
        <v>285</v>
      </c>
      <c r="B105" s="835"/>
      <c r="C105" s="835"/>
      <c r="D105" s="835"/>
      <c r="E105" s="835"/>
      <c r="F105" s="835"/>
      <c r="G105" s="835"/>
      <c r="H105" s="835"/>
      <c r="I105" s="835"/>
    </row>
    <row r="106" spans="1:9" ht="19.5" customHeight="1">
      <c r="A106" s="265"/>
      <c r="B106" s="263"/>
      <c r="C106" s="263"/>
      <c r="D106" s="263"/>
      <c r="E106" s="263"/>
      <c r="F106" s="263"/>
      <c r="G106" s="429" t="s">
        <v>7</v>
      </c>
      <c r="H106" s="428" t="s">
        <v>7</v>
      </c>
      <c r="I106" s="428" t="s">
        <v>7</v>
      </c>
    </row>
    <row r="107" spans="1:9" ht="19.5" customHeight="1">
      <c r="A107" s="34" t="s">
        <v>3</v>
      </c>
      <c r="B107" s="273" t="s">
        <v>286</v>
      </c>
      <c r="C107" s="274"/>
      <c r="D107" s="274"/>
      <c r="E107" s="274"/>
      <c r="F107" s="274"/>
      <c r="G107" s="272">
        <v>0</v>
      </c>
      <c r="H107" s="272">
        <v>0</v>
      </c>
      <c r="I107" s="272">
        <v>0</v>
      </c>
    </row>
    <row r="108" spans="1:9" ht="19.5" customHeight="1">
      <c r="A108" s="760" t="s">
        <v>287</v>
      </c>
      <c r="B108" s="761"/>
      <c r="C108" s="761"/>
      <c r="D108" s="761"/>
      <c r="E108" s="761"/>
      <c r="F108" s="762"/>
      <c r="G108" s="278">
        <f>G107</f>
        <v>0</v>
      </c>
      <c r="H108" s="278">
        <f t="shared" ref="H108:I108" si="46">H107</f>
        <v>0</v>
      </c>
      <c r="I108" s="278">
        <f t="shared" si="46"/>
        <v>0</v>
      </c>
    </row>
    <row r="109" spans="1:9" ht="5.25" customHeight="1">
      <c r="A109" s="300"/>
      <c r="B109" s="301"/>
      <c r="C109" s="301"/>
      <c r="D109" s="301"/>
      <c r="E109" s="301"/>
      <c r="F109" s="301"/>
      <c r="G109" s="301"/>
      <c r="H109" s="301"/>
      <c r="I109" s="301"/>
    </row>
    <row r="110" spans="1:9" ht="21.65" customHeight="1">
      <c r="A110" s="787" t="s">
        <v>288</v>
      </c>
      <c r="B110" s="788"/>
      <c r="C110" s="788"/>
      <c r="D110" s="788"/>
      <c r="E110" s="788"/>
      <c r="F110" s="789"/>
      <c r="G110" s="302">
        <f>ROUND(G108+G103,2)</f>
        <v>364.89</v>
      </c>
      <c r="H110" s="303">
        <f t="shared" ref="H110:I110" si="47">ROUND(H108+H103,2)</f>
        <v>364.89</v>
      </c>
      <c r="I110" s="303">
        <f t="shared" si="47"/>
        <v>364.89</v>
      </c>
    </row>
    <row r="111" spans="1:9" ht="6.75" customHeight="1">
      <c r="A111" s="258"/>
      <c r="B111" s="259"/>
      <c r="C111" s="259"/>
      <c r="D111" s="259"/>
      <c r="E111" s="259"/>
      <c r="F111" s="259"/>
      <c r="G111" s="259"/>
      <c r="H111" s="259"/>
      <c r="I111" s="260"/>
    </row>
    <row r="112" spans="1:9" ht="21.5" customHeight="1">
      <c r="A112" s="559" t="s">
        <v>289</v>
      </c>
      <c r="B112" s="560"/>
      <c r="C112" s="560"/>
      <c r="D112" s="560"/>
      <c r="E112" s="560"/>
      <c r="F112" s="560"/>
      <c r="G112" s="560"/>
      <c r="H112" s="560"/>
      <c r="I112" s="561"/>
    </row>
    <row r="113" spans="1:9" s="261" customFormat="1" ht="43" customHeight="1">
      <c r="A113" s="829"/>
      <c r="B113" s="830"/>
      <c r="C113" s="830"/>
      <c r="D113" s="830"/>
      <c r="E113" s="830"/>
      <c r="F113" s="831"/>
      <c r="G113" s="424" t="s">
        <v>530</v>
      </c>
      <c r="H113" s="425" t="s">
        <v>534</v>
      </c>
      <c r="I113" s="424" t="s">
        <v>535</v>
      </c>
    </row>
    <row r="114" spans="1:9" s="261" customFormat="1" ht="19.5" customHeight="1">
      <c r="A114" s="832"/>
      <c r="B114" s="833"/>
      <c r="C114" s="833"/>
      <c r="D114" s="833"/>
      <c r="E114" s="833"/>
      <c r="F114" s="834"/>
      <c r="G114" s="426" t="s">
        <v>7</v>
      </c>
      <c r="H114" s="426" t="s">
        <v>7</v>
      </c>
      <c r="I114" s="426" t="s">
        <v>7</v>
      </c>
    </row>
    <row r="115" spans="1:9" ht="19.5" customHeight="1">
      <c r="A115" s="34" t="s">
        <v>290</v>
      </c>
      <c r="B115" s="483" t="s">
        <v>291</v>
      </c>
      <c r="C115" s="484"/>
      <c r="D115" s="484"/>
      <c r="E115" s="484"/>
      <c r="F115" s="485"/>
      <c r="G115" s="272">
        <f>Uniforme!$G$26</f>
        <v>119.55</v>
      </c>
      <c r="H115" s="289">
        <f>Uniforme!$G$26</f>
        <v>119.55</v>
      </c>
      <c r="I115" s="289">
        <f>Uniforme!$G$26</f>
        <v>119.55</v>
      </c>
    </row>
    <row r="116" spans="1:9" ht="19.5" customHeight="1">
      <c r="A116" s="34" t="s">
        <v>4</v>
      </c>
      <c r="B116" s="483" t="s">
        <v>292</v>
      </c>
      <c r="C116" s="484"/>
      <c r="D116" s="484"/>
      <c r="E116" s="484"/>
      <c r="F116" s="485"/>
      <c r="G116" s="272">
        <f>Insumos!$G$79</f>
        <v>938.82</v>
      </c>
      <c r="H116" s="272">
        <f>Insumos!$G$79</f>
        <v>938.82</v>
      </c>
      <c r="I116" s="272">
        <f>Insumos!$G$79</f>
        <v>938.82</v>
      </c>
    </row>
    <row r="117" spans="1:9" ht="19.5" customHeight="1">
      <c r="A117" s="34" t="s">
        <v>5</v>
      </c>
      <c r="B117" s="287" t="s">
        <v>334</v>
      </c>
      <c r="C117" s="288"/>
      <c r="D117" s="288"/>
      <c r="E117" s="288"/>
      <c r="F117" s="304"/>
      <c r="G117" s="272">
        <f>Equipamentos!$G$26</f>
        <v>58.51</v>
      </c>
      <c r="H117" s="272">
        <f>Equipamentos!$G$26</f>
        <v>58.51</v>
      </c>
      <c r="I117" s="272">
        <f>Equipamentos!$G$26</f>
        <v>58.51</v>
      </c>
    </row>
    <row r="118" spans="1:9" ht="19.5" customHeight="1">
      <c r="A118" s="34" t="s">
        <v>216</v>
      </c>
      <c r="B118" s="739" t="s">
        <v>231</v>
      </c>
      <c r="C118" s="740"/>
      <c r="D118" s="740"/>
      <c r="E118" s="740"/>
      <c r="F118" s="779"/>
      <c r="G118" s="463"/>
      <c r="H118" s="463"/>
      <c r="I118" s="463"/>
    </row>
    <row r="119" spans="1:9" ht="22" customHeight="1">
      <c r="A119" s="743" t="s">
        <v>293</v>
      </c>
      <c r="B119" s="763"/>
      <c r="C119" s="763"/>
      <c r="D119" s="763"/>
      <c r="E119" s="763"/>
      <c r="F119" s="764"/>
      <c r="G119" s="257">
        <f>ROUND(SUM(G115:G118),2)</f>
        <v>1116.8800000000001</v>
      </c>
      <c r="H119" s="257">
        <f t="shared" ref="H119:I119" si="48">ROUND(SUM(H115:H118),2)</f>
        <v>1116.8800000000001</v>
      </c>
      <c r="I119" s="257">
        <f t="shared" si="48"/>
        <v>1116.8800000000001</v>
      </c>
    </row>
    <row r="120" spans="1:9" ht="6.75" customHeight="1">
      <c r="A120" s="258"/>
      <c r="B120" s="259"/>
      <c r="C120" s="259"/>
      <c r="D120" s="259"/>
      <c r="E120" s="259"/>
      <c r="F120" s="259"/>
      <c r="G120" s="259"/>
      <c r="H120" s="259"/>
      <c r="I120" s="260"/>
    </row>
    <row r="121" spans="1:9" ht="22" customHeight="1">
      <c r="A121" s="559" t="s">
        <v>294</v>
      </c>
      <c r="B121" s="560"/>
      <c r="C121" s="560"/>
      <c r="D121" s="560"/>
      <c r="E121" s="560"/>
      <c r="F121" s="560"/>
      <c r="G121" s="560"/>
      <c r="H121" s="560"/>
      <c r="I121" s="561"/>
    </row>
    <row r="122" spans="1:9" ht="49" customHeight="1">
      <c r="A122" s="262"/>
      <c r="B122" s="305"/>
      <c r="C122" s="305"/>
      <c r="D122" s="305"/>
      <c r="E122" s="305"/>
      <c r="F122" s="305"/>
      <c r="G122" s="424" t="s">
        <v>530</v>
      </c>
      <c r="H122" s="425" t="s">
        <v>534</v>
      </c>
      <c r="I122" s="424" t="s">
        <v>535</v>
      </c>
    </row>
    <row r="123" spans="1:9" ht="19.5" customHeight="1">
      <c r="A123" s="826"/>
      <c r="B123" s="827"/>
      <c r="C123" s="827"/>
      <c r="D123" s="827"/>
      <c r="E123" s="827"/>
      <c r="F123" s="828"/>
      <c r="G123" s="426" t="s">
        <v>7</v>
      </c>
      <c r="H123" s="426" t="s">
        <v>7</v>
      </c>
      <c r="I123" s="426" t="s">
        <v>7</v>
      </c>
    </row>
    <row r="124" spans="1:9" ht="19.5" customHeight="1">
      <c r="A124" s="34" t="s">
        <v>3</v>
      </c>
      <c r="B124" s="483" t="s">
        <v>295</v>
      </c>
      <c r="C124" s="484"/>
      <c r="D124" s="484"/>
      <c r="E124" s="484"/>
      <c r="F124" s="485"/>
      <c r="G124" s="44">
        <f>ROUND((G28+G58+G69+G110+G119)*'Benefícios e Outros Dados'!$K$37,2)</f>
        <v>286.89</v>
      </c>
      <c r="H124" s="44">
        <f>ROUND((H28+H58+H69+H110+H119)*'Benefícios e Outros Dados'!$K$37,2)</f>
        <v>279.8</v>
      </c>
      <c r="I124" s="44">
        <f>ROUND((I28+I58+I69+I110+I119)*'Benefícios e Outros Dados'!$K$37,2)</f>
        <v>277.24</v>
      </c>
    </row>
    <row r="125" spans="1:9" ht="19.5" customHeight="1">
      <c r="A125" s="34" t="s">
        <v>4</v>
      </c>
      <c r="B125" s="483" t="s">
        <v>25</v>
      </c>
      <c r="C125" s="484"/>
      <c r="D125" s="484"/>
      <c r="E125" s="484"/>
      <c r="F125" s="485"/>
      <c r="G125" s="44">
        <f>ROUND((G28+G58+G69+G110+G119+G124)*'Benefícios e Outros Dados'!$K$38,2)</f>
        <v>307.49</v>
      </c>
      <c r="H125" s="44">
        <f>ROUND((H28+H58+H69+H110+H119+H124)*'Benefícios e Outros Dados'!$K$38,2)</f>
        <v>299.89</v>
      </c>
      <c r="I125" s="44">
        <f>ROUND((I28+I58+I69+I110+I119+I124)*'Benefícios e Outros Dados'!$K$38,2)</f>
        <v>297.14</v>
      </c>
    </row>
    <row r="126" spans="1:9" ht="19.5" customHeight="1">
      <c r="A126" s="767" t="s">
        <v>5</v>
      </c>
      <c r="B126" s="767" t="s">
        <v>296</v>
      </c>
      <c r="C126" s="771" t="s">
        <v>297</v>
      </c>
      <c r="D126" s="772"/>
      <c r="E126" s="486" t="s">
        <v>29</v>
      </c>
      <c r="F126" s="487"/>
      <c r="G126" s="44">
        <f>ROUND((($G$28+$G$58+$G$69+$G$110+$G$119+$G$124+$G$125)/(1-'Benefícios e Outros Dados'!$K$45))*'Benefícios e Outros Dados'!K40,2)</f>
        <v>104.53</v>
      </c>
      <c r="H126" s="44">
        <f>ROUND((($H$28+$H$58+$H$69+$H$110+$H$119+$H$124+$H$125)/(1-'Benefícios e Outros Dados'!$K$59))*'Benefícios e Outros Dados'!K40,2)</f>
        <v>101.94</v>
      </c>
      <c r="I126" s="44">
        <f>ROUND((($I$28+$I$58+$I$69+$I$110+$I$119+$I$124+$I$125)/(1-'Benefícios e Outros Dados'!$K$61))*'Benefícios e Outros Dados'!K40,2)</f>
        <v>99.85</v>
      </c>
    </row>
    <row r="127" spans="1:9" ht="19.5" customHeight="1">
      <c r="A127" s="770"/>
      <c r="B127" s="770"/>
      <c r="C127" s="773"/>
      <c r="D127" s="774"/>
      <c r="E127" s="486" t="s">
        <v>30</v>
      </c>
      <c r="F127" s="487"/>
      <c r="G127" s="44">
        <f>ROUND((($G$28+$G$58+$G$69+$G$110+$G$119+$G$124+$G$125)/(1-'Benefícios e Outros Dados'!$K$45))*'Benefícios e Outros Dados'!K41,2)</f>
        <v>481.47</v>
      </c>
      <c r="H127" s="44">
        <f>ROUND((($H$28+$H$58+$H$69+$H$110+$H$119+$H$124+$H$125)/(1-'Benefícios e Outros Dados'!$K$59))*'Benefícios e Outros Dados'!K41,2)</f>
        <v>469.56</v>
      </c>
      <c r="I127" s="44">
        <f>ROUND((($I$28+$I$58+$I$69+$I$110+$I$119+$I$124+$I$125)/(1-'Benefícios e Outros Dados'!$K$61))*'Benefícios e Outros Dados'!K41,2)</f>
        <v>459.9</v>
      </c>
    </row>
    <row r="128" spans="1:9" ht="19.5" customHeight="1">
      <c r="A128" s="770"/>
      <c r="B128" s="770"/>
      <c r="C128" s="775"/>
      <c r="D128" s="776"/>
      <c r="E128" s="486" t="s">
        <v>298</v>
      </c>
      <c r="F128" s="487"/>
      <c r="G128" s="44">
        <f>ROUND((($G$28+$G$58+$G$69+$G$110+$G$119+$G$124+$G$125)/(1-'Benefícios e Outros Dados'!$K$45))*'Benefícios e Outros Dados'!K42,2)</f>
        <v>0</v>
      </c>
      <c r="H128" s="44">
        <f>ROUND((($H$28+$H$58+$H$69+$H$110+$H$119+$H$124+$H$125)/(1-'Benefícios e Outros Dados'!$K$59))*'Benefícios e Outros Dados'!K42,2)</f>
        <v>0</v>
      </c>
      <c r="I128" s="44">
        <f>ROUND((($I$28+$I$58+$I$69+$I$110+$I$119+$I$124+$I$125)/(1-'Benefícios e Outros Dados'!$K$61))*'Benefícios e Outros Dados'!K42,2)</f>
        <v>0</v>
      </c>
    </row>
    <row r="129" spans="1:10" ht="19.5" customHeight="1">
      <c r="A129" s="770"/>
      <c r="B129" s="770"/>
      <c r="C129" s="804" t="s">
        <v>299</v>
      </c>
      <c r="D129" s="805"/>
      <c r="E129" s="486" t="s">
        <v>300</v>
      </c>
      <c r="F129" s="487"/>
      <c r="G129" s="44">
        <f>ROUND((($G$28+$G$58+$G$69+$G$110+$G$119+$G$124+$G$125)/(1-'Benefícios e Outros Dados'!$K$45))*'Benefícios e Outros Dados'!K44,2)</f>
        <v>316.76</v>
      </c>
      <c r="H129" s="44">
        <f>ROUND((($H$28+$H$58+$H$69+$H$110+$H$119+$H$124+$H$125)/(1-'Benefícios e Outros Dados'!$K$59))*'Benefícios e Outros Dados'!K58,2)</f>
        <v>308.92</v>
      </c>
      <c r="I129" s="44">
        <f>ROUND((($I$28+$I$58+$I$69+$I$110+$I$119+$I$124+$I$125)/(1-'Benefícios e Outros Dados'!$K$61))*'Benefícios e Outros Dados'!K60,2)</f>
        <v>242.05</v>
      </c>
    </row>
    <row r="130" spans="1:10" ht="19.5" customHeight="1">
      <c r="A130" s="770"/>
      <c r="B130" s="770"/>
      <c r="C130" s="486" t="s">
        <v>298</v>
      </c>
      <c r="D130" s="696"/>
      <c r="E130" s="696"/>
      <c r="F130" s="487"/>
      <c r="G130" s="44">
        <f>ROUND((($G$28+$G$58+$G$69+$G$110+$G$119+$G$124+$G$125)/(1-'Benefícios e Outros Dados'!$K$45))*'Benefícios e Outros Dados'!K43,2)</f>
        <v>0</v>
      </c>
      <c r="H130" s="44">
        <f>ROUND((($H$28+$H$58+$H$69+$H$110+$H$119+$H$124+$H$125)/(1-'Benefícios e Outros Dados'!$K$59))*'Benefícios e Outros Dados'!K43,2)</f>
        <v>0</v>
      </c>
      <c r="I130" s="44">
        <f>ROUND((($I$28+$I$58+$I$69+$I$110+$I$119+$I$124+$I$125)/(1-'Benefícios e Outros Dados'!$K$61))*'Benefícios e Outros Dados'!K43,2)</f>
        <v>0</v>
      </c>
    </row>
    <row r="131" spans="1:10" ht="19.5" customHeight="1">
      <c r="A131" s="601"/>
      <c r="B131" s="784" t="s">
        <v>301</v>
      </c>
      <c r="C131" s="840"/>
      <c r="D131" s="840"/>
      <c r="E131" s="840"/>
      <c r="F131" s="841"/>
      <c r="G131" s="310">
        <f>SUM(G126,G127,G128,G129,G130)</f>
        <v>902.76</v>
      </c>
      <c r="H131" s="310">
        <f t="shared" ref="H131:I131" si="49">SUM(H126,H127,H128,H129,H130)</f>
        <v>880.42</v>
      </c>
      <c r="I131" s="310">
        <f t="shared" si="49"/>
        <v>801.8</v>
      </c>
    </row>
    <row r="132" spans="1:10" ht="21.75" customHeight="1">
      <c r="A132" s="559" t="s">
        <v>302</v>
      </c>
      <c r="B132" s="560"/>
      <c r="C132" s="560"/>
      <c r="D132" s="560"/>
      <c r="E132" s="560"/>
      <c r="F132" s="561"/>
      <c r="G132" s="311">
        <f>ROUND(SUM(G131,G125,G124),2)</f>
        <v>1497.14</v>
      </c>
      <c r="H132" s="311">
        <f t="shared" ref="H132:I132" si="50">ROUND(SUM(H131,H125,H124),2)</f>
        <v>1460.11</v>
      </c>
      <c r="I132" s="311">
        <f t="shared" si="50"/>
        <v>1376.18</v>
      </c>
    </row>
    <row r="133" spans="1:10" ht="15" customHeight="1">
      <c r="A133" s="799"/>
      <c r="B133" s="800"/>
      <c r="C133" s="800"/>
      <c r="D133" s="800"/>
      <c r="E133" s="800"/>
      <c r="F133" s="800"/>
      <c r="G133" s="800"/>
    </row>
    <row r="134" spans="1:10" ht="23.25" customHeight="1">
      <c r="A134" s="798" t="s">
        <v>303</v>
      </c>
      <c r="B134" s="798"/>
      <c r="C134" s="798"/>
      <c r="D134" s="798"/>
      <c r="E134" s="798"/>
      <c r="F134" s="798"/>
      <c r="G134" s="798"/>
      <c r="H134" s="798"/>
      <c r="I134" s="798"/>
    </row>
    <row r="135" spans="1:10" ht="40.5" customHeight="1">
      <c r="A135" s="312"/>
      <c r="B135" s="313"/>
      <c r="C135" s="313"/>
      <c r="D135" s="313"/>
      <c r="E135" s="313"/>
      <c r="F135" s="313"/>
      <c r="G135" s="424" t="s">
        <v>530</v>
      </c>
      <c r="H135" s="425" t="s">
        <v>534</v>
      </c>
      <c r="I135" s="424" t="s">
        <v>535</v>
      </c>
    </row>
    <row r="136" spans="1:10" ht="19.5" customHeight="1">
      <c r="A136" s="34" t="s">
        <v>3</v>
      </c>
      <c r="B136" s="273" t="s">
        <v>304</v>
      </c>
      <c r="C136" s="274"/>
      <c r="D136" s="274"/>
      <c r="E136" s="274"/>
      <c r="F136" s="274"/>
      <c r="G136" s="314">
        <f>G28</f>
        <v>1730.75</v>
      </c>
      <c r="H136" s="314">
        <f t="shared" ref="H136:I136" si="51">H28</f>
        <v>1730.75</v>
      </c>
      <c r="I136" s="314">
        <f t="shared" si="51"/>
        <v>1730.75</v>
      </c>
    </row>
    <row r="137" spans="1:10" ht="19.5" customHeight="1">
      <c r="A137" s="34" t="s">
        <v>4</v>
      </c>
      <c r="B137" s="273" t="s">
        <v>305</v>
      </c>
      <c r="C137" s="274"/>
      <c r="D137" s="274"/>
      <c r="E137" s="274"/>
      <c r="F137" s="274"/>
      <c r="G137" s="314">
        <f>G58</f>
        <v>1490.4</v>
      </c>
      <c r="H137" s="314">
        <f t="shared" ref="H137:I137" si="52">H58</f>
        <v>1370.7</v>
      </c>
      <c r="I137" s="314">
        <f t="shared" si="52"/>
        <v>1327.54</v>
      </c>
    </row>
    <row r="138" spans="1:10" ht="19.5" customHeight="1">
      <c r="A138" s="34" t="s">
        <v>5</v>
      </c>
      <c r="B138" s="273" t="s">
        <v>306</v>
      </c>
      <c r="C138" s="274"/>
      <c r="D138" s="274"/>
      <c r="E138" s="274"/>
      <c r="F138" s="274"/>
      <c r="G138" s="314">
        <f>G69</f>
        <v>135.09</v>
      </c>
      <c r="H138" s="314">
        <f t="shared" ref="H138:I138" si="53">H69</f>
        <v>135.09</v>
      </c>
      <c r="I138" s="314">
        <f t="shared" si="53"/>
        <v>135.09</v>
      </c>
    </row>
    <row r="139" spans="1:10" ht="19.5" customHeight="1">
      <c r="A139" s="34" t="s">
        <v>216</v>
      </c>
      <c r="B139" s="273" t="s">
        <v>307</v>
      </c>
      <c r="C139" s="274"/>
      <c r="D139" s="274"/>
      <c r="E139" s="274"/>
      <c r="F139" s="274"/>
      <c r="G139" s="315">
        <f>G110</f>
        <v>364.89</v>
      </c>
      <c r="H139" s="315">
        <f t="shared" ref="H139:I139" si="54">H110</f>
        <v>364.89</v>
      </c>
      <c r="I139" s="315">
        <f t="shared" si="54"/>
        <v>364.89</v>
      </c>
    </row>
    <row r="140" spans="1:10" ht="19.5" customHeight="1">
      <c r="A140" s="34" t="s">
        <v>218</v>
      </c>
      <c r="B140" s="273" t="s">
        <v>308</v>
      </c>
      <c r="C140" s="274"/>
      <c r="D140" s="274"/>
      <c r="E140" s="274"/>
      <c r="F140" s="274"/>
      <c r="G140" s="314">
        <f>G119</f>
        <v>1116.8800000000001</v>
      </c>
      <c r="H140" s="314">
        <f t="shared" ref="H140:I140" si="55">H119</f>
        <v>1116.8800000000001</v>
      </c>
      <c r="I140" s="314">
        <f t="shared" si="55"/>
        <v>1116.8800000000001</v>
      </c>
    </row>
    <row r="141" spans="1:10" ht="19.5" customHeight="1">
      <c r="A141" s="34" t="s">
        <v>221</v>
      </c>
      <c r="B141" s="273" t="s">
        <v>309</v>
      </c>
      <c r="C141" s="274"/>
      <c r="D141" s="274"/>
      <c r="E141" s="274"/>
      <c r="F141" s="274"/>
      <c r="G141" s="314">
        <f>G132</f>
        <v>1497.14</v>
      </c>
      <c r="H141" s="314">
        <f t="shared" ref="H141:I141" si="56">H132</f>
        <v>1460.11</v>
      </c>
      <c r="I141" s="314">
        <f t="shared" si="56"/>
        <v>1376.18</v>
      </c>
    </row>
    <row r="142" spans="1:10" ht="23.25" customHeight="1">
      <c r="A142" s="801" t="s">
        <v>310</v>
      </c>
      <c r="B142" s="802"/>
      <c r="C142" s="802"/>
      <c r="D142" s="802"/>
      <c r="E142" s="802"/>
      <c r="F142" s="803"/>
      <c r="G142" s="316">
        <f>ROUND(SUM(G136:G141),2)</f>
        <v>6335.15</v>
      </c>
      <c r="H142" s="316">
        <f t="shared" ref="H142:I142" si="57">ROUND(SUM(H136:H141),2)</f>
        <v>6178.42</v>
      </c>
      <c r="I142" s="316">
        <f t="shared" si="57"/>
        <v>6051.33</v>
      </c>
      <c r="J142" s="69"/>
    </row>
  </sheetData>
  <mergeCells count="151">
    <mergeCell ref="A142:F142"/>
    <mergeCell ref="B118:F118"/>
    <mergeCell ref="A121:I121"/>
    <mergeCell ref="A123:F123"/>
    <mergeCell ref="B124:F124"/>
    <mergeCell ref="B125:F125"/>
    <mergeCell ref="A126:A131"/>
    <mergeCell ref="B126:B130"/>
    <mergeCell ref="C126:D128"/>
    <mergeCell ref="E126:F126"/>
    <mergeCell ref="E127:F127"/>
    <mergeCell ref="E128:F128"/>
    <mergeCell ref="C129:D129"/>
    <mergeCell ref="E129:F129"/>
    <mergeCell ref="C130:F130"/>
    <mergeCell ref="B131:F131"/>
    <mergeCell ref="A119:F119"/>
    <mergeCell ref="H94:H95"/>
    <mergeCell ref="I94:I95"/>
    <mergeCell ref="A96:A97"/>
    <mergeCell ref="B96:B97"/>
    <mergeCell ref="G96:G97"/>
    <mergeCell ref="H96:H97"/>
    <mergeCell ref="I96:I97"/>
    <mergeCell ref="H90:H91"/>
    <mergeCell ref="I90:I91"/>
    <mergeCell ref="H92:H93"/>
    <mergeCell ref="I92:I93"/>
    <mergeCell ref="H86:H87"/>
    <mergeCell ref="I86:I87"/>
    <mergeCell ref="H88:H89"/>
    <mergeCell ref="I88:I89"/>
    <mergeCell ref="H82:H83"/>
    <mergeCell ref="I82:I83"/>
    <mergeCell ref="H84:H85"/>
    <mergeCell ref="I84:I85"/>
    <mergeCell ref="H78:H79"/>
    <mergeCell ref="I78:I79"/>
    <mergeCell ref="H80:H81"/>
    <mergeCell ref="I80:I81"/>
    <mergeCell ref="H74:H75"/>
    <mergeCell ref="I74:I75"/>
    <mergeCell ref="H76:H77"/>
    <mergeCell ref="I76:I77"/>
    <mergeCell ref="H63:H64"/>
    <mergeCell ref="I63:I64"/>
    <mergeCell ref="B64:D64"/>
    <mergeCell ref="E64:F64"/>
    <mergeCell ref="B67:F67"/>
    <mergeCell ref="B68:F68"/>
    <mergeCell ref="A69:F69"/>
    <mergeCell ref="A71:I71"/>
    <mergeCell ref="A72:F73"/>
    <mergeCell ref="A63:A64"/>
    <mergeCell ref="B63:F63"/>
    <mergeCell ref="G63:G64"/>
    <mergeCell ref="A74:A75"/>
    <mergeCell ref="B74:B75"/>
    <mergeCell ref="G74:G75"/>
    <mergeCell ref="B66:F66"/>
    <mergeCell ref="A1:I1"/>
    <mergeCell ref="A2:I2"/>
    <mergeCell ref="A4:G4"/>
    <mergeCell ref="H4:I4"/>
    <mergeCell ref="A5:G5"/>
    <mergeCell ref="A6:I6"/>
    <mergeCell ref="A7:G7"/>
    <mergeCell ref="A8:I8"/>
    <mergeCell ref="A9:I9"/>
    <mergeCell ref="B17:F17"/>
    <mergeCell ref="B10:F10"/>
    <mergeCell ref="B11:F11"/>
    <mergeCell ref="B12:F12"/>
    <mergeCell ref="A21:I21"/>
    <mergeCell ref="A22:I22"/>
    <mergeCell ref="B25:F25"/>
    <mergeCell ref="A23:E24"/>
    <mergeCell ref="F23:F24"/>
    <mergeCell ref="B13:F13"/>
    <mergeCell ref="B14:F14"/>
    <mergeCell ref="B15:F15"/>
    <mergeCell ref="B16:F16"/>
    <mergeCell ref="A18:I18"/>
    <mergeCell ref="A19:D19"/>
    <mergeCell ref="E19:F19"/>
    <mergeCell ref="G19:I19"/>
    <mergeCell ref="A20:I20"/>
    <mergeCell ref="B26:E26"/>
    <mergeCell ref="B27:E27"/>
    <mergeCell ref="A28:F28"/>
    <mergeCell ref="A30:I30"/>
    <mergeCell ref="B52:F52"/>
    <mergeCell ref="B53:F53"/>
    <mergeCell ref="A58:F58"/>
    <mergeCell ref="A60:I60"/>
    <mergeCell ref="A61:F62"/>
    <mergeCell ref="A32:I32"/>
    <mergeCell ref="A36:E36"/>
    <mergeCell ref="A38:I38"/>
    <mergeCell ref="B42:E42"/>
    <mergeCell ref="A48:E48"/>
    <mergeCell ref="A50:I50"/>
    <mergeCell ref="B55:F55"/>
    <mergeCell ref="B56:F56"/>
    <mergeCell ref="A57:F57"/>
    <mergeCell ref="A78:A79"/>
    <mergeCell ref="B78:B79"/>
    <mergeCell ref="G78:G79"/>
    <mergeCell ref="A76:A77"/>
    <mergeCell ref="B76:B77"/>
    <mergeCell ref="G76:G77"/>
    <mergeCell ref="A82:A83"/>
    <mergeCell ref="B82:B83"/>
    <mergeCell ref="G82:G83"/>
    <mergeCell ref="A80:A81"/>
    <mergeCell ref="B80:B81"/>
    <mergeCell ref="G80:G81"/>
    <mergeCell ref="A88:A89"/>
    <mergeCell ref="B88:B89"/>
    <mergeCell ref="G88:G89"/>
    <mergeCell ref="A86:A87"/>
    <mergeCell ref="B86:B87"/>
    <mergeCell ref="G86:G87"/>
    <mergeCell ref="A84:A85"/>
    <mergeCell ref="B84:B85"/>
    <mergeCell ref="G84:G85"/>
    <mergeCell ref="A99:F99"/>
    <mergeCell ref="A92:A93"/>
    <mergeCell ref="B92:B93"/>
    <mergeCell ref="G92:G93"/>
    <mergeCell ref="A90:A91"/>
    <mergeCell ref="B90:B91"/>
    <mergeCell ref="G90:G91"/>
    <mergeCell ref="A94:A95"/>
    <mergeCell ref="B94:B95"/>
    <mergeCell ref="G94:G95"/>
    <mergeCell ref="A113:F114"/>
    <mergeCell ref="B115:F115"/>
    <mergeCell ref="B116:F116"/>
    <mergeCell ref="A132:F132"/>
    <mergeCell ref="A133:G133"/>
    <mergeCell ref="A134:I134"/>
    <mergeCell ref="B101:D101"/>
    <mergeCell ref="E101:F101"/>
    <mergeCell ref="B102:D102"/>
    <mergeCell ref="E102:F102"/>
    <mergeCell ref="A103:F103"/>
    <mergeCell ref="A105:I105"/>
    <mergeCell ref="A108:F108"/>
    <mergeCell ref="A110:F110"/>
    <mergeCell ref="A112:I112"/>
  </mergeCells>
  <pageMargins left="0.511811024" right="0.511811024" top="0.78740157499999996" bottom="0.78740157499999996" header="0.31496062000000002" footer="0.31496062000000002"/>
  <pageSetup paperSize="9" scale="23" fitToWidth="0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L26"/>
  <sheetViews>
    <sheetView showGridLines="0" zoomScale="70" zoomScaleNormal="70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A6" sqref="A6:AL6"/>
    </sheetView>
  </sheetViews>
  <sheetFormatPr defaultRowHeight="15.5"/>
  <cols>
    <col min="1" max="1" width="11.6328125" style="66" customWidth="1"/>
    <col min="2" max="2" width="29.81640625" style="66" customWidth="1"/>
    <col min="3" max="3" width="1.453125" style="66" customWidth="1"/>
    <col min="4" max="4" width="14.26953125" style="66" customWidth="1"/>
    <col min="5" max="5" width="16.08984375" style="66" customWidth="1"/>
    <col min="6" max="6" width="17.453125" style="66" customWidth="1"/>
    <col min="7" max="7" width="1.453125" style="66" customWidth="1"/>
    <col min="8" max="8" width="14.1796875" style="66" customWidth="1"/>
    <col min="9" max="9" width="17.81640625" style="66" customWidth="1"/>
    <col min="10" max="10" width="15.6328125" style="66" customWidth="1"/>
    <col min="11" max="11" width="1.453125" style="35" customWidth="1"/>
    <col min="12" max="12" width="14.7265625" style="66" customWidth="1"/>
    <col min="13" max="13" width="18.90625" style="66" customWidth="1"/>
    <col min="14" max="14" width="15.1796875" style="66" customWidth="1"/>
    <col min="15" max="15" width="1.453125" style="66" customWidth="1"/>
    <col min="16" max="16" width="14.81640625" style="66" customWidth="1"/>
    <col min="17" max="17" width="20.1796875" style="66" customWidth="1"/>
    <col min="18" max="18" width="15.26953125" style="66" customWidth="1"/>
    <col min="19" max="19" width="1.453125" style="66" customWidth="1"/>
    <col min="20" max="20" width="14.81640625" style="66" customWidth="1"/>
    <col min="21" max="21" width="20.1796875" style="66" customWidth="1"/>
    <col min="22" max="22" width="15.26953125" style="66" customWidth="1"/>
    <col min="23" max="23" width="1.453125" style="66" customWidth="1"/>
    <col min="24" max="24" width="14.81640625" style="66" customWidth="1"/>
    <col min="25" max="25" width="20.1796875" style="66" customWidth="1"/>
    <col min="26" max="26" width="15.26953125" style="66" customWidth="1"/>
    <col min="27" max="27" width="1.453125" style="66" customWidth="1"/>
    <col min="28" max="28" width="14.81640625" style="66" customWidth="1"/>
    <col min="29" max="29" width="20.1796875" style="66" customWidth="1"/>
    <col min="30" max="30" width="15.26953125" style="66" customWidth="1"/>
    <col min="31" max="31" width="1.453125" style="66" customWidth="1"/>
    <col min="32" max="32" width="14.81640625" style="66" customWidth="1"/>
    <col min="33" max="33" width="20.1796875" style="66" customWidth="1"/>
    <col min="34" max="34" width="15.26953125" style="66" customWidth="1"/>
    <col min="35" max="35" width="1.453125" style="66" customWidth="1"/>
    <col min="36" max="36" width="14.81640625" style="66" customWidth="1"/>
    <col min="37" max="37" width="20.1796875" style="66" customWidth="1"/>
    <col min="38" max="38" width="17.1796875" style="66" customWidth="1"/>
    <col min="39" max="993" width="9.54296875" style="66" customWidth="1"/>
    <col min="994" max="16384" width="8.7265625" style="66"/>
  </cols>
  <sheetData>
    <row r="1" spans="1:38" s="64" customFormat="1" ht="17" customHeight="1">
      <c r="A1" s="607" t="s">
        <v>0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9"/>
    </row>
    <row r="2" spans="1:38" s="64" customFormat="1" ht="22" customHeight="1">
      <c r="A2" s="610" t="s">
        <v>135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  <c r="X2" s="611"/>
      <c r="Y2" s="611"/>
      <c r="Z2" s="611"/>
      <c r="AA2" s="611"/>
      <c r="AB2" s="611"/>
      <c r="AC2" s="611"/>
      <c r="AD2" s="611"/>
      <c r="AE2" s="611"/>
      <c r="AF2" s="611"/>
      <c r="AG2" s="611"/>
      <c r="AH2" s="611"/>
      <c r="AI2" s="611"/>
      <c r="AJ2" s="611"/>
      <c r="AK2" s="611"/>
      <c r="AL2" s="612"/>
    </row>
    <row r="3" spans="1:38" s="64" customFormat="1" ht="5.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31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</row>
    <row r="4" spans="1:38" s="64" customFormat="1" ht="18.5" customHeight="1">
      <c r="A4" s="600" t="s">
        <v>1</v>
      </c>
      <c r="B4" s="600"/>
      <c r="C4" s="600"/>
      <c r="D4" s="600"/>
      <c r="E4" s="600"/>
      <c r="F4" s="600"/>
      <c r="G4" s="600"/>
      <c r="H4" s="600"/>
      <c r="I4" s="600"/>
      <c r="J4" s="662" t="str">
        <f>CCT!J4</f>
        <v>10707.720194-2025-26</v>
      </c>
      <c r="K4" s="662"/>
      <c r="L4" s="662"/>
      <c r="M4" s="662"/>
      <c r="N4" s="662"/>
      <c r="O4" s="662"/>
      <c r="P4" s="662"/>
      <c r="Q4" s="662"/>
      <c r="R4" s="662"/>
      <c r="S4" s="662"/>
      <c r="T4" s="662"/>
      <c r="U4" s="662"/>
      <c r="V4" s="662"/>
      <c r="W4" s="662"/>
      <c r="X4" s="662"/>
      <c r="Y4" s="662"/>
      <c r="Z4" s="662"/>
      <c r="AA4" s="662"/>
      <c r="AB4" s="662"/>
      <c r="AC4" s="662"/>
      <c r="AD4" s="662"/>
      <c r="AE4" s="662"/>
      <c r="AF4" s="662"/>
      <c r="AG4" s="662"/>
      <c r="AH4" s="662"/>
      <c r="AI4" s="662"/>
      <c r="AJ4" s="662"/>
      <c r="AK4" s="662"/>
      <c r="AL4" s="662"/>
    </row>
    <row r="5" spans="1:38" s="64" customFormat="1" ht="5" customHeight="1">
      <c r="K5" s="35"/>
    </row>
    <row r="6" spans="1:38" s="64" customFormat="1" ht="18" customHeight="1">
      <c r="A6" s="613" t="s">
        <v>2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  <c r="U6" s="614"/>
      <c r="V6" s="614"/>
      <c r="W6" s="614"/>
      <c r="X6" s="614"/>
      <c r="Y6" s="614"/>
      <c r="Z6" s="614"/>
      <c r="AA6" s="614"/>
      <c r="AB6" s="614"/>
      <c r="AC6" s="614"/>
      <c r="AD6" s="614"/>
      <c r="AE6" s="614"/>
      <c r="AF6" s="614"/>
      <c r="AG6" s="614"/>
      <c r="AH6" s="614"/>
      <c r="AI6" s="614"/>
      <c r="AJ6" s="614"/>
      <c r="AK6" s="614"/>
      <c r="AL6" s="615"/>
    </row>
    <row r="7" spans="1:38">
      <c r="B7" s="132"/>
      <c r="C7" s="132"/>
      <c r="D7" s="132"/>
      <c r="E7" s="132"/>
      <c r="F7" s="132"/>
      <c r="G7" s="132"/>
      <c r="H7" s="132"/>
      <c r="I7" s="132"/>
      <c r="J7" s="132"/>
      <c r="M7" s="132"/>
      <c r="N7" s="132"/>
      <c r="Q7" s="132"/>
      <c r="R7" s="132"/>
      <c r="U7" s="132"/>
      <c r="V7" s="132"/>
      <c r="Y7" s="132"/>
      <c r="Z7" s="132"/>
      <c r="AC7" s="132"/>
      <c r="AD7" s="132"/>
      <c r="AG7" s="132"/>
      <c r="AH7" s="132"/>
      <c r="AK7" s="132"/>
      <c r="AL7" s="132"/>
    </row>
    <row r="8" spans="1:38" ht="18.5" customHeight="1" thickBot="1">
      <c r="A8" s="133"/>
      <c r="B8" s="132"/>
      <c r="C8" s="132"/>
      <c r="D8" s="842" t="s">
        <v>154</v>
      </c>
      <c r="E8" s="842"/>
      <c r="F8" s="842"/>
      <c r="G8" s="132"/>
      <c r="H8" s="843" t="s">
        <v>137</v>
      </c>
      <c r="I8" s="843"/>
      <c r="J8" s="843"/>
      <c r="L8" s="844" t="s">
        <v>138</v>
      </c>
      <c r="M8" s="844"/>
      <c r="N8" s="844"/>
      <c r="P8" s="845" t="s">
        <v>139</v>
      </c>
      <c r="Q8" s="845"/>
      <c r="R8" s="845"/>
      <c r="T8" s="846" t="s">
        <v>140</v>
      </c>
      <c r="U8" s="846"/>
      <c r="V8" s="846"/>
      <c r="X8" s="847" t="s">
        <v>141</v>
      </c>
      <c r="Y8" s="847"/>
      <c r="Z8" s="847"/>
      <c r="AB8" s="848" t="s">
        <v>142</v>
      </c>
      <c r="AC8" s="848"/>
      <c r="AD8" s="848"/>
      <c r="AF8" s="849" t="s">
        <v>143</v>
      </c>
      <c r="AG8" s="849"/>
      <c r="AH8" s="849"/>
      <c r="AJ8" s="850" t="s">
        <v>144</v>
      </c>
      <c r="AK8" s="850"/>
      <c r="AL8" s="850"/>
    </row>
    <row r="9" spans="1:38" ht="40" customHeight="1">
      <c r="A9" s="729" t="s">
        <v>154</v>
      </c>
      <c r="B9" s="317" t="s">
        <v>57</v>
      </c>
      <c r="C9" s="145"/>
      <c r="D9" s="318" t="s">
        <v>513</v>
      </c>
      <c r="E9" s="146" t="s">
        <v>88</v>
      </c>
      <c r="F9" s="148" t="s">
        <v>89</v>
      </c>
      <c r="H9" s="318" t="s">
        <v>513</v>
      </c>
      <c r="I9" s="146" t="s">
        <v>88</v>
      </c>
      <c r="J9" s="148" t="s">
        <v>89</v>
      </c>
      <c r="L9" s="318" t="s">
        <v>513</v>
      </c>
      <c r="M9" s="146" t="s">
        <v>88</v>
      </c>
      <c r="N9" s="148" t="s">
        <v>89</v>
      </c>
      <c r="P9" s="318" t="s">
        <v>513</v>
      </c>
      <c r="Q9" s="146" t="s">
        <v>88</v>
      </c>
      <c r="R9" s="148" t="s">
        <v>89</v>
      </c>
      <c r="T9" s="318" t="s">
        <v>513</v>
      </c>
      <c r="U9" s="146" t="s">
        <v>88</v>
      </c>
      <c r="V9" s="148" t="s">
        <v>89</v>
      </c>
      <c r="X9" s="318" t="s">
        <v>513</v>
      </c>
      <c r="Y9" s="146" t="s">
        <v>88</v>
      </c>
      <c r="Z9" s="148" t="s">
        <v>89</v>
      </c>
      <c r="AB9" s="318" t="s">
        <v>513</v>
      </c>
      <c r="AC9" s="146" t="s">
        <v>88</v>
      </c>
      <c r="AD9" s="148" t="s">
        <v>89</v>
      </c>
      <c r="AF9" s="318" t="s">
        <v>513</v>
      </c>
      <c r="AG9" s="146" t="s">
        <v>88</v>
      </c>
      <c r="AH9" s="148" t="s">
        <v>89</v>
      </c>
      <c r="AJ9" s="318" t="s">
        <v>513</v>
      </c>
      <c r="AK9" s="146" t="s">
        <v>88</v>
      </c>
      <c r="AL9" s="148" t="s">
        <v>89</v>
      </c>
    </row>
    <row r="10" spans="1:38" ht="18.5" customHeight="1">
      <c r="A10" s="730"/>
      <c r="B10" s="319" t="s">
        <v>41</v>
      </c>
      <c r="C10" s="151"/>
      <c r="D10" s="152"/>
      <c r="E10" s="153"/>
      <c r="F10" s="154"/>
      <c r="H10" s="152"/>
      <c r="I10" s="153"/>
      <c r="J10" s="154"/>
      <c r="L10" s="152"/>
      <c r="M10" s="155"/>
      <c r="N10" s="154"/>
      <c r="P10" s="152"/>
      <c r="Q10" s="155"/>
      <c r="R10" s="154"/>
      <c r="T10" s="152"/>
      <c r="U10" s="155"/>
      <c r="V10" s="154"/>
      <c r="X10" s="152"/>
      <c r="Y10" s="155"/>
      <c r="Z10" s="154"/>
      <c r="AB10" s="152"/>
      <c r="AC10" s="155"/>
      <c r="AD10" s="154"/>
      <c r="AF10" s="152"/>
      <c r="AG10" s="155"/>
      <c r="AH10" s="154"/>
      <c r="AJ10" s="152"/>
      <c r="AK10" s="155"/>
      <c r="AL10" s="154"/>
    </row>
    <row r="11" spans="1:38" s="69" customFormat="1" ht="18" customHeight="1">
      <c r="A11" s="730"/>
      <c r="B11" s="156" t="s">
        <v>42</v>
      </c>
      <c r="C11" s="159"/>
      <c r="D11" s="320">
        <f>'Área - Produt - Servente'!E11</f>
        <v>1200</v>
      </c>
      <c r="E11" s="272">
        <f>'Servente SEM Adicional'!G142</f>
        <v>6335.15</v>
      </c>
      <c r="F11" s="272">
        <f>ROUND(E11/D11,2)</f>
        <v>5.28</v>
      </c>
      <c r="H11" s="320">
        <f>'Área - Produt - Servente'!I11</f>
        <v>1200</v>
      </c>
      <c r="I11" s="272">
        <f>'Servente COM Adicional'!I144</f>
        <v>6659.88</v>
      </c>
      <c r="J11" s="272">
        <f>ROUND(I11/H11,2)</f>
        <v>5.55</v>
      </c>
      <c r="K11" s="162"/>
      <c r="L11" s="320">
        <f>'Área - Produt - Servente'!M11</f>
        <v>1200</v>
      </c>
      <c r="M11" s="306">
        <f>'Servente COM Adicional'!J144</f>
        <v>6632.37</v>
      </c>
      <c r="N11" s="272">
        <f>ROUND(M11/L11,2)</f>
        <v>5.53</v>
      </c>
      <c r="P11" s="320">
        <f>'Área - Produt - Servente'!Q11</f>
        <v>1200</v>
      </c>
      <c r="Q11" s="306">
        <f>'Servente COM Adicional'!K144</f>
        <v>6665.38</v>
      </c>
      <c r="R11" s="272">
        <f>ROUND(Q11/P11,2)</f>
        <v>5.55</v>
      </c>
      <c r="T11" s="320">
        <f>'Área - Produt - Servente'!U11</f>
        <v>1200</v>
      </c>
      <c r="U11" s="306">
        <f>'Servente COM Adicional'!L144</f>
        <v>6596.63</v>
      </c>
      <c r="V11" s="272">
        <f>ROUND(U11/T11,2)</f>
        <v>5.5</v>
      </c>
      <c r="X11" s="320">
        <f>'Área - Produt - Servente'!Y11</f>
        <v>1200</v>
      </c>
      <c r="Y11" s="306">
        <f>'Servente COM Adicional'!M144</f>
        <v>6408.17</v>
      </c>
      <c r="Z11" s="272">
        <f>ROUND(Y11/X11,2)</f>
        <v>5.34</v>
      </c>
      <c r="AB11" s="320">
        <f>'Área - Produt - Servente'!AC11</f>
        <v>1200</v>
      </c>
      <c r="AC11" s="306">
        <f>'Servente COM Adicional'!N144</f>
        <v>6632.37</v>
      </c>
      <c r="AD11" s="272">
        <f>ROUND(AC11/AB11,2)</f>
        <v>5.53</v>
      </c>
      <c r="AF11" s="164">
        <f>'Área - Produt - Servente'!AG11</f>
        <v>1200</v>
      </c>
      <c r="AG11" s="306">
        <f>'Servente SEM Adicional'!H142</f>
        <v>6178.42</v>
      </c>
      <c r="AH11" s="272">
        <f>ROUND(AG11/AF11,2)</f>
        <v>5.15</v>
      </c>
      <c r="AJ11" s="320">
        <f>'Área - Produt - Servente'!AK11</f>
        <v>1200</v>
      </c>
      <c r="AK11" s="306">
        <f>'Servente SEM Adicional'!I142</f>
        <v>6051.33</v>
      </c>
      <c r="AL11" s="272">
        <f>ROUND(AK11/AJ11,2)</f>
        <v>5.04</v>
      </c>
    </row>
    <row r="12" spans="1:38" ht="18" customHeight="1">
      <c r="A12" s="730"/>
      <c r="B12" s="165" t="s">
        <v>43</v>
      </c>
      <c r="C12" s="166"/>
      <c r="D12" s="320">
        <f>'Área - Produt - Servente'!E12</f>
        <v>1200</v>
      </c>
      <c r="E12" s="272">
        <f>E11</f>
        <v>6335.15</v>
      </c>
      <c r="F12" s="272">
        <f t="shared" ref="F12:F22" si="0">ROUND(E12/D12,2)</f>
        <v>5.28</v>
      </c>
      <c r="H12" s="168">
        <f>'Área - Produt - Servente'!I12</f>
        <v>241.47</v>
      </c>
      <c r="I12" s="272">
        <f>I11</f>
        <v>6659.88</v>
      </c>
      <c r="J12" s="272">
        <f t="shared" ref="J12:J22" si="1">ROUND(I12/H12,2)</f>
        <v>27.58</v>
      </c>
      <c r="L12" s="168">
        <f>'Área - Produt - Servente'!M12</f>
        <v>163.19999999999999</v>
      </c>
      <c r="M12" s="306">
        <f>M11</f>
        <v>6632.37</v>
      </c>
      <c r="N12" s="272">
        <f t="shared" ref="N12:N22" si="2">ROUND(M12/L12,2)</f>
        <v>40.64</v>
      </c>
      <c r="P12" s="320">
        <f>'Área - Produt - Servente'!Q12</f>
        <v>358</v>
      </c>
      <c r="Q12" s="306">
        <f>Q11</f>
        <v>6665.38</v>
      </c>
      <c r="R12" s="272">
        <f t="shared" ref="R12:R22" si="3">ROUND(Q12/P12,2)</f>
        <v>18.62</v>
      </c>
      <c r="T12" s="168">
        <f>'Área - Produt - Servente'!U12</f>
        <v>666.98</v>
      </c>
      <c r="U12" s="306">
        <f>U11</f>
        <v>6596.63</v>
      </c>
      <c r="V12" s="272">
        <f t="shared" ref="V12:V22" si="4">ROUND(U12/T12,2)</f>
        <v>9.89</v>
      </c>
      <c r="X12" s="320">
        <f>'Área - Produt - Servente'!Y12</f>
        <v>528</v>
      </c>
      <c r="Y12" s="306">
        <f>Y11</f>
        <v>6408.17</v>
      </c>
      <c r="Z12" s="272">
        <f t="shared" ref="Z12:Z22" si="5">ROUND(Y12/X12,2)</f>
        <v>12.14</v>
      </c>
      <c r="AB12" s="320">
        <f>'Área - Produt - Servente'!AC12</f>
        <v>215</v>
      </c>
      <c r="AC12" s="306">
        <f>AC11</f>
        <v>6632.37</v>
      </c>
      <c r="AD12" s="272">
        <f t="shared" ref="AD12:AD22" si="6">ROUND(AC12/AB12,2)</f>
        <v>30.85</v>
      </c>
      <c r="AF12" s="164">
        <f>'Área - Produt - Servente'!AG12</f>
        <v>1519.04</v>
      </c>
      <c r="AG12" s="306">
        <f>AG11</f>
        <v>6178.42</v>
      </c>
      <c r="AH12" s="272">
        <f t="shared" ref="AH12:AH22" si="7">ROUND(AG12/AF12,2)</f>
        <v>4.07</v>
      </c>
      <c r="AJ12" s="320">
        <f>'Área - Produt - Servente'!AK12</f>
        <v>1200</v>
      </c>
      <c r="AK12" s="306">
        <f>AK11</f>
        <v>6051.33</v>
      </c>
      <c r="AL12" s="272">
        <f t="shared" ref="AL12:AL22" si="8">ROUND(AK12/AJ12,2)</f>
        <v>5.04</v>
      </c>
    </row>
    <row r="13" spans="1:38" ht="18" customHeight="1">
      <c r="A13" s="730"/>
      <c r="B13" s="165" t="s">
        <v>44</v>
      </c>
      <c r="C13" s="166"/>
      <c r="D13" s="320">
        <f>'Área - Produt - Servente'!E13</f>
        <v>450</v>
      </c>
      <c r="E13" s="272">
        <f>E12</f>
        <v>6335.15</v>
      </c>
      <c r="F13" s="272">
        <f t="shared" si="0"/>
        <v>14.08</v>
      </c>
      <c r="H13" s="320">
        <f>'Área - Produt - Servente'!I13</f>
        <v>450</v>
      </c>
      <c r="I13" s="272">
        <f>I11</f>
        <v>6659.88</v>
      </c>
      <c r="J13" s="272">
        <f t="shared" si="1"/>
        <v>14.8</v>
      </c>
      <c r="L13" s="320">
        <f>'Área - Produt - Servente'!M13</f>
        <v>450</v>
      </c>
      <c r="M13" s="306">
        <f>M11</f>
        <v>6632.37</v>
      </c>
      <c r="N13" s="272">
        <f t="shared" si="2"/>
        <v>14.74</v>
      </c>
      <c r="P13" s="320">
        <f>'Área - Produt - Servente'!Q13</f>
        <v>450</v>
      </c>
      <c r="Q13" s="306">
        <f>Q11</f>
        <v>6665.38</v>
      </c>
      <c r="R13" s="272">
        <f t="shared" si="3"/>
        <v>14.81</v>
      </c>
      <c r="T13" s="320">
        <f>'Área - Produt - Servente'!U13</f>
        <v>450</v>
      </c>
      <c r="U13" s="306">
        <f>U11</f>
        <v>6596.63</v>
      </c>
      <c r="V13" s="272">
        <f t="shared" si="4"/>
        <v>14.66</v>
      </c>
      <c r="X13" s="320">
        <f>'Área - Produt - Servente'!Y13</f>
        <v>450</v>
      </c>
      <c r="Y13" s="306">
        <f>Y11</f>
        <v>6408.17</v>
      </c>
      <c r="Z13" s="272">
        <f t="shared" si="5"/>
        <v>14.24</v>
      </c>
      <c r="AB13" s="320">
        <f>'Área - Produt - Servente'!AC13</f>
        <v>450</v>
      </c>
      <c r="AC13" s="306">
        <f>AC11</f>
        <v>6632.37</v>
      </c>
      <c r="AD13" s="272">
        <f t="shared" si="6"/>
        <v>14.74</v>
      </c>
      <c r="AF13" s="164">
        <f>'Área - Produt - Servente'!AG13</f>
        <v>450</v>
      </c>
      <c r="AG13" s="306">
        <f>AG11</f>
        <v>6178.42</v>
      </c>
      <c r="AH13" s="272">
        <f t="shared" si="7"/>
        <v>13.73</v>
      </c>
      <c r="AJ13" s="320">
        <f>'Área - Produt - Servente'!AK13</f>
        <v>450</v>
      </c>
      <c r="AK13" s="306">
        <f>AK11</f>
        <v>6051.33</v>
      </c>
      <c r="AL13" s="272">
        <f t="shared" si="8"/>
        <v>13.45</v>
      </c>
    </row>
    <row r="14" spans="1:38" ht="18" customHeight="1">
      <c r="A14" s="730"/>
      <c r="B14" s="165" t="s">
        <v>45</v>
      </c>
      <c r="C14" s="166"/>
      <c r="D14" s="320">
        <f>'Área - Produt - Servente'!E14</f>
        <v>2500</v>
      </c>
      <c r="E14" s="272">
        <f>E13</f>
        <v>6335.15</v>
      </c>
      <c r="F14" s="272">
        <f t="shared" si="0"/>
        <v>2.5299999999999998</v>
      </c>
      <c r="H14" s="320">
        <f>'Área - Produt - Servente'!I14</f>
        <v>2500</v>
      </c>
      <c r="I14" s="272">
        <f>I11</f>
        <v>6659.88</v>
      </c>
      <c r="J14" s="272">
        <f t="shared" si="1"/>
        <v>2.66</v>
      </c>
      <c r="L14" s="320">
        <f>'Área - Produt - Servente'!M14</f>
        <v>2500</v>
      </c>
      <c r="M14" s="306">
        <f>M11</f>
        <v>6632.37</v>
      </c>
      <c r="N14" s="272">
        <f t="shared" si="2"/>
        <v>2.65</v>
      </c>
      <c r="P14" s="320">
        <f>'Área - Produt - Servente'!Q14</f>
        <v>2500</v>
      </c>
      <c r="Q14" s="306">
        <f>Q11</f>
        <v>6665.38</v>
      </c>
      <c r="R14" s="272">
        <f t="shared" si="3"/>
        <v>2.67</v>
      </c>
      <c r="T14" s="320">
        <f>'Área - Produt - Servente'!U14</f>
        <v>2500</v>
      </c>
      <c r="U14" s="306">
        <f>U11</f>
        <v>6596.63</v>
      </c>
      <c r="V14" s="272">
        <f t="shared" si="4"/>
        <v>2.64</v>
      </c>
      <c r="X14" s="320">
        <f>'Área - Produt - Servente'!Y14</f>
        <v>2500</v>
      </c>
      <c r="Y14" s="306">
        <f>Y11</f>
        <v>6408.17</v>
      </c>
      <c r="Z14" s="272">
        <f t="shared" si="5"/>
        <v>2.56</v>
      </c>
      <c r="AB14" s="320">
        <f>'Área - Produt - Servente'!AC14</f>
        <v>2500</v>
      </c>
      <c r="AC14" s="306">
        <f>AC11</f>
        <v>6632.37</v>
      </c>
      <c r="AD14" s="272">
        <f t="shared" si="6"/>
        <v>2.65</v>
      </c>
      <c r="AF14" s="164">
        <f>'Área - Produt - Servente'!AG14</f>
        <v>2500</v>
      </c>
      <c r="AG14" s="306">
        <f>AG11</f>
        <v>6178.42</v>
      </c>
      <c r="AH14" s="272">
        <f t="shared" si="7"/>
        <v>2.4700000000000002</v>
      </c>
      <c r="AJ14" s="320">
        <f>'Área - Produt - Servente'!AK14</f>
        <v>2500</v>
      </c>
      <c r="AK14" s="306">
        <f>AK11</f>
        <v>6051.33</v>
      </c>
      <c r="AL14" s="272">
        <f t="shared" si="8"/>
        <v>2.42</v>
      </c>
    </row>
    <row r="15" spans="1:38" ht="28.5" customHeight="1">
      <c r="A15" s="730"/>
      <c r="B15" s="165" t="s">
        <v>46</v>
      </c>
      <c r="C15" s="166"/>
      <c r="D15" s="320">
        <f>'Área - Produt - Servente'!E15</f>
        <v>1500</v>
      </c>
      <c r="E15" s="272">
        <f>E14</f>
        <v>6335.15</v>
      </c>
      <c r="F15" s="272">
        <f t="shared" si="0"/>
        <v>4.22</v>
      </c>
      <c r="H15" s="320">
        <f>'Área - Produt - Servente'!I15</f>
        <v>1500</v>
      </c>
      <c r="I15" s="272">
        <f>I11</f>
        <v>6659.88</v>
      </c>
      <c r="J15" s="272">
        <f t="shared" si="1"/>
        <v>4.4400000000000004</v>
      </c>
      <c r="L15" s="320">
        <f>'Área - Produt - Servente'!M15</f>
        <v>1500</v>
      </c>
      <c r="M15" s="306">
        <f>M11</f>
        <v>6632.37</v>
      </c>
      <c r="N15" s="272">
        <f t="shared" si="2"/>
        <v>4.42</v>
      </c>
      <c r="P15" s="320">
        <f>'Área - Produt - Servente'!Q15</f>
        <v>1500</v>
      </c>
      <c r="Q15" s="306">
        <f>Q11</f>
        <v>6665.38</v>
      </c>
      <c r="R15" s="272">
        <f t="shared" si="3"/>
        <v>4.4400000000000004</v>
      </c>
      <c r="T15" s="320">
        <f>'Área - Produt - Servente'!U15</f>
        <v>1500</v>
      </c>
      <c r="U15" s="306">
        <f>U11</f>
        <v>6596.63</v>
      </c>
      <c r="V15" s="272">
        <f t="shared" si="4"/>
        <v>4.4000000000000004</v>
      </c>
      <c r="X15" s="320">
        <f>'Área - Produt - Servente'!Y15</f>
        <v>1500</v>
      </c>
      <c r="Y15" s="306">
        <f>Y11</f>
        <v>6408.17</v>
      </c>
      <c r="Z15" s="272">
        <f t="shared" si="5"/>
        <v>4.2699999999999996</v>
      </c>
      <c r="AB15" s="320">
        <f>'Área - Produt - Servente'!AC15</f>
        <v>1500</v>
      </c>
      <c r="AC15" s="306">
        <f>AC11</f>
        <v>6632.37</v>
      </c>
      <c r="AD15" s="272">
        <f t="shared" si="6"/>
        <v>4.42</v>
      </c>
      <c r="AF15" s="164">
        <f>'Área - Produt - Servente'!AG15</f>
        <v>1500</v>
      </c>
      <c r="AG15" s="306">
        <f>AG11</f>
        <v>6178.42</v>
      </c>
      <c r="AH15" s="272">
        <f t="shared" si="7"/>
        <v>4.12</v>
      </c>
      <c r="AJ15" s="320">
        <f>'Área - Produt - Servente'!AK15</f>
        <v>1500</v>
      </c>
      <c r="AK15" s="306">
        <f>AK11</f>
        <v>6051.33</v>
      </c>
      <c r="AL15" s="272">
        <f t="shared" si="8"/>
        <v>4.03</v>
      </c>
    </row>
    <row r="16" spans="1:38" ht="18" customHeight="1">
      <c r="A16" s="730"/>
      <c r="B16" s="169" t="s">
        <v>47</v>
      </c>
      <c r="C16" s="166"/>
      <c r="D16" s="320">
        <f>'Área - Produt - Servente'!E16</f>
        <v>380</v>
      </c>
      <c r="E16" s="272">
        <f>E15</f>
        <v>6335.15</v>
      </c>
      <c r="F16" s="272">
        <f t="shared" si="0"/>
        <v>16.670000000000002</v>
      </c>
      <c r="H16" s="320">
        <f>'Área - Produt - Servente'!I16</f>
        <v>300</v>
      </c>
      <c r="I16" s="272">
        <f>I11</f>
        <v>6659.88</v>
      </c>
      <c r="J16" s="272">
        <f t="shared" si="1"/>
        <v>22.2</v>
      </c>
      <c r="L16" s="320">
        <f>'Área - Produt - Servente'!M16</f>
        <v>300</v>
      </c>
      <c r="M16" s="306">
        <f>M11</f>
        <v>6632.37</v>
      </c>
      <c r="N16" s="272">
        <f t="shared" si="2"/>
        <v>22.11</v>
      </c>
      <c r="P16" s="320">
        <f>'Área - Produt - Servente'!Q16</f>
        <v>300</v>
      </c>
      <c r="Q16" s="306">
        <f>Q11</f>
        <v>6665.38</v>
      </c>
      <c r="R16" s="272">
        <f t="shared" si="3"/>
        <v>22.22</v>
      </c>
      <c r="T16" s="320">
        <f>'Área - Produt - Servente'!U16</f>
        <v>300</v>
      </c>
      <c r="U16" s="306">
        <f>U11</f>
        <v>6596.63</v>
      </c>
      <c r="V16" s="272">
        <f t="shared" si="4"/>
        <v>21.99</v>
      </c>
      <c r="X16" s="320">
        <f>'Área - Produt - Servente'!Y16</f>
        <v>300</v>
      </c>
      <c r="Y16" s="306">
        <f>Y11</f>
        <v>6408.17</v>
      </c>
      <c r="Z16" s="272">
        <f t="shared" si="5"/>
        <v>21.36</v>
      </c>
      <c r="AB16" s="320">
        <f>'Área - Produt - Servente'!AC16</f>
        <v>300</v>
      </c>
      <c r="AC16" s="306">
        <f>AC11</f>
        <v>6632.37</v>
      </c>
      <c r="AD16" s="272">
        <f t="shared" si="6"/>
        <v>22.11</v>
      </c>
      <c r="AF16" s="164">
        <f>'Área - Produt - Servente'!AG16</f>
        <v>300</v>
      </c>
      <c r="AG16" s="306">
        <f>AG11</f>
        <v>6178.42</v>
      </c>
      <c r="AH16" s="272">
        <f t="shared" si="7"/>
        <v>20.59</v>
      </c>
      <c r="AJ16" s="320">
        <f>'Área - Produt - Servente'!AK16</f>
        <v>300</v>
      </c>
      <c r="AK16" s="306">
        <f>AK11</f>
        <v>6051.33</v>
      </c>
      <c r="AL16" s="272">
        <f t="shared" si="8"/>
        <v>20.170000000000002</v>
      </c>
    </row>
    <row r="17" spans="1:38" ht="18" customHeight="1">
      <c r="A17" s="730"/>
      <c r="B17" s="170" t="s">
        <v>145</v>
      </c>
      <c r="C17" s="92"/>
      <c r="D17" s="320">
        <f>'Área - Produt - Servente'!E17</f>
        <v>414</v>
      </c>
      <c r="E17" s="272">
        <f>'Servente COM Adicional'!H144</f>
        <v>8541.57</v>
      </c>
      <c r="F17" s="272">
        <f t="shared" si="0"/>
        <v>20.63</v>
      </c>
      <c r="H17" s="320">
        <f>'Área - Produt - Servente'!I17</f>
        <v>300</v>
      </c>
      <c r="I17" s="272">
        <f>I11</f>
        <v>6659.88</v>
      </c>
      <c r="J17" s="272">
        <f t="shared" si="1"/>
        <v>22.2</v>
      </c>
      <c r="L17" s="320">
        <f>'Área - Produt - Servente'!M17</f>
        <v>300</v>
      </c>
      <c r="M17" s="306">
        <f>M11</f>
        <v>6632.37</v>
      </c>
      <c r="N17" s="272">
        <f t="shared" si="2"/>
        <v>22.11</v>
      </c>
      <c r="P17" s="320">
        <f>'Área - Produt - Servente'!Q17</f>
        <v>300</v>
      </c>
      <c r="Q17" s="306">
        <f>Q11</f>
        <v>6665.38</v>
      </c>
      <c r="R17" s="272">
        <f t="shared" si="3"/>
        <v>22.22</v>
      </c>
      <c r="T17" s="320">
        <f>'Área - Produt - Servente'!U17</f>
        <v>300</v>
      </c>
      <c r="U17" s="306">
        <f>U11</f>
        <v>6596.63</v>
      </c>
      <c r="V17" s="272">
        <f t="shared" si="4"/>
        <v>21.99</v>
      </c>
      <c r="X17" s="320">
        <f>'Área - Produt - Servente'!Y17</f>
        <v>300</v>
      </c>
      <c r="Y17" s="306">
        <f>Y11</f>
        <v>6408.17</v>
      </c>
      <c r="Z17" s="272">
        <f t="shared" si="5"/>
        <v>21.36</v>
      </c>
      <c r="AB17" s="320">
        <f>'Área - Produt - Servente'!AC17</f>
        <v>300</v>
      </c>
      <c r="AC17" s="306">
        <f>AC11</f>
        <v>6632.37</v>
      </c>
      <c r="AD17" s="272">
        <f t="shared" si="6"/>
        <v>22.11</v>
      </c>
      <c r="AF17" s="164">
        <f>'Área - Produt - Servente'!AG17</f>
        <v>146.12</v>
      </c>
      <c r="AG17" s="306">
        <f>'Servente COM Adicional'!O144</f>
        <v>7783.04</v>
      </c>
      <c r="AH17" s="272">
        <f t="shared" si="7"/>
        <v>53.26</v>
      </c>
      <c r="AJ17" s="168">
        <f>'Área - Produt - Servente'!AK17</f>
        <v>22.53</v>
      </c>
      <c r="AK17" s="306">
        <f>'Servente COM Adicional'!P144</f>
        <v>7637.47</v>
      </c>
      <c r="AL17" s="272">
        <f t="shared" si="8"/>
        <v>338.99</v>
      </c>
    </row>
    <row r="18" spans="1:38" ht="18.5" customHeight="1">
      <c r="A18" s="730"/>
      <c r="B18" s="321" t="s">
        <v>48</v>
      </c>
      <c r="C18" s="151"/>
      <c r="D18" s="153"/>
      <c r="E18" s="153"/>
      <c r="F18" s="154"/>
      <c r="H18" s="153"/>
      <c r="I18" s="153"/>
      <c r="J18" s="154"/>
      <c r="L18" s="153"/>
      <c r="M18" s="155"/>
      <c r="N18" s="154"/>
      <c r="P18" s="153"/>
      <c r="Q18" s="155"/>
      <c r="R18" s="154"/>
      <c r="T18" s="153"/>
      <c r="U18" s="155"/>
      <c r="V18" s="154"/>
      <c r="X18" s="153"/>
      <c r="Y18" s="155"/>
      <c r="Z18" s="154"/>
      <c r="AB18" s="153"/>
      <c r="AC18" s="155"/>
      <c r="AD18" s="154"/>
      <c r="AF18" s="153"/>
      <c r="AG18" s="155"/>
      <c r="AH18" s="154"/>
      <c r="AJ18" s="153"/>
      <c r="AK18" s="155"/>
      <c r="AL18" s="154"/>
    </row>
    <row r="19" spans="1:38" ht="30" customHeight="1">
      <c r="A19" s="730"/>
      <c r="B19" s="174" t="s">
        <v>49</v>
      </c>
      <c r="C19" s="175"/>
      <c r="D19" s="322">
        <f>'Área - Produt - Servente'!E19</f>
        <v>2700</v>
      </c>
      <c r="E19" s="272">
        <f>E11</f>
        <v>6335.15</v>
      </c>
      <c r="F19" s="272">
        <f t="shared" si="0"/>
        <v>2.35</v>
      </c>
      <c r="H19" s="111">
        <f>'Área - Produt - Servente'!I19</f>
        <v>2700</v>
      </c>
      <c r="I19" s="272">
        <f>I11</f>
        <v>6659.88</v>
      </c>
      <c r="J19" s="272">
        <f t="shared" si="1"/>
        <v>2.4700000000000002</v>
      </c>
      <c r="L19" s="320">
        <f>'Área - Produt - Servente'!M19</f>
        <v>2700</v>
      </c>
      <c r="M19" s="306">
        <f>M11</f>
        <v>6632.37</v>
      </c>
      <c r="N19" s="272">
        <f t="shared" si="2"/>
        <v>2.46</v>
      </c>
      <c r="P19" s="111">
        <f>'Área - Produt - Servente'!Q19</f>
        <v>2700</v>
      </c>
      <c r="Q19" s="306">
        <f>Q11</f>
        <v>6665.38</v>
      </c>
      <c r="R19" s="272">
        <f t="shared" si="3"/>
        <v>2.4700000000000002</v>
      </c>
      <c r="T19" s="111">
        <f>'Área - Produt - Servente'!U19</f>
        <v>2700</v>
      </c>
      <c r="U19" s="306">
        <f>U11</f>
        <v>6596.63</v>
      </c>
      <c r="V19" s="272">
        <f t="shared" si="4"/>
        <v>2.44</v>
      </c>
      <c r="X19" s="111">
        <f>'Área - Produt - Servente'!Y19</f>
        <v>2700</v>
      </c>
      <c r="Y19" s="306">
        <f>Y11</f>
        <v>6408.17</v>
      </c>
      <c r="Z19" s="272">
        <f t="shared" si="5"/>
        <v>2.37</v>
      </c>
      <c r="AB19" s="111">
        <f>'Área - Produt - Servente'!AC19</f>
        <v>2700</v>
      </c>
      <c r="AC19" s="306">
        <f>AC11</f>
        <v>6632.37</v>
      </c>
      <c r="AD19" s="272">
        <f t="shared" si="6"/>
        <v>2.46</v>
      </c>
      <c r="AF19" s="111">
        <f>'Área - Produt - Servente'!AG19</f>
        <v>2700</v>
      </c>
      <c r="AG19" s="306">
        <f>AG11</f>
        <v>6178.42</v>
      </c>
      <c r="AH19" s="272">
        <f t="shared" si="7"/>
        <v>2.29</v>
      </c>
      <c r="AJ19" s="111">
        <f>'Área - Produt - Servente'!AK19</f>
        <v>2700</v>
      </c>
      <c r="AK19" s="306">
        <f>AK11</f>
        <v>6051.33</v>
      </c>
      <c r="AL19" s="272">
        <f t="shared" si="8"/>
        <v>2.2400000000000002</v>
      </c>
    </row>
    <row r="20" spans="1:38" ht="18" customHeight="1">
      <c r="A20" s="730"/>
      <c r="B20" s="169" t="s">
        <v>50</v>
      </c>
      <c r="C20" s="175"/>
      <c r="D20" s="322">
        <f>'Área - Produt - Servente'!E20</f>
        <v>9000</v>
      </c>
      <c r="E20" s="272">
        <f>E11</f>
        <v>6335.15</v>
      </c>
      <c r="F20" s="272">
        <f t="shared" si="0"/>
        <v>0.7</v>
      </c>
      <c r="H20" s="111">
        <f>'Área - Produt - Servente'!I20</f>
        <v>9000</v>
      </c>
      <c r="I20" s="272">
        <f>I11</f>
        <v>6659.88</v>
      </c>
      <c r="J20" s="272">
        <f t="shared" si="1"/>
        <v>0.74</v>
      </c>
      <c r="L20" s="320">
        <f>'Área - Produt - Servente'!M20</f>
        <v>9000</v>
      </c>
      <c r="M20" s="306">
        <f>M11</f>
        <v>6632.37</v>
      </c>
      <c r="N20" s="272">
        <f t="shared" si="2"/>
        <v>0.74</v>
      </c>
      <c r="P20" s="111">
        <f>'Área - Produt - Servente'!Q20</f>
        <v>9000</v>
      </c>
      <c r="Q20" s="306">
        <f>Q11</f>
        <v>6665.38</v>
      </c>
      <c r="R20" s="272">
        <f t="shared" si="3"/>
        <v>0.74</v>
      </c>
      <c r="T20" s="111">
        <f>'Área - Produt - Servente'!U20</f>
        <v>9000</v>
      </c>
      <c r="U20" s="306">
        <f>U11</f>
        <v>6596.63</v>
      </c>
      <c r="V20" s="272">
        <f t="shared" si="4"/>
        <v>0.73</v>
      </c>
      <c r="X20" s="111">
        <f>'Área - Produt - Servente'!Y20</f>
        <v>9000</v>
      </c>
      <c r="Y20" s="306">
        <f>Y11</f>
        <v>6408.17</v>
      </c>
      <c r="Z20" s="272">
        <f t="shared" si="5"/>
        <v>0.71</v>
      </c>
      <c r="AB20" s="111">
        <f>'Área - Produt - Servente'!AC20</f>
        <v>9000</v>
      </c>
      <c r="AC20" s="306">
        <f>AC11</f>
        <v>6632.37</v>
      </c>
      <c r="AD20" s="272">
        <f t="shared" si="6"/>
        <v>0.74</v>
      </c>
      <c r="AF20" s="111">
        <f>'Área - Produt - Servente'!AG20</f>
        <v>9000</v>
      </c>
      <c r="AG20" s="306">
        <f>AG11</f>
        <v>6178.42</v>
      </c>
      <c r="AH20" s="272">
        <f t="shared" si="7"/>
        <v>0.69</v>
      </c>
      <c r="AJ20" s="111">
        <f>'Área - Produt - Servente'!AK20</f>
        <v>11650</v>
      </c>
      <c r="AK20" s="306">
        <f>AK11</f>
        <v>6051.33</v>
      </c>
      <c r="AL20" s="272">
        <f t="shared" si="8"/>
        <v>0.52</v>
      </c>
    </row>
    <row r="21" spans="1:38" ht="31" customHeight="1">
      <c r="A21" s="730"/>
      <c r="B21" s="169" t="s">
        <v>146</v>
      </c>
      <c r="C21" s="175"/>
      <c r="D21" s="322">
        <f>'Área - Produt - Servente'!E21</f>
        <v>2700</v>
      </c>
      <c r="E21" s="272">
        <f>E11</f>
        <v>6335.15</v>
      </c>
      <c r="F21" s="272">
        <f t="shared" si="0"/>
        <v>2.35</v>
      </c>
      <c r="H21" s="111">
        <f>'Área - Produt - Servente'!I21</f>
        <v>2700</v>
      </c>
      <c r="I21" s="272">
        <f>I11</f>
        <v>6659.88</v>
      </c>
      <c r="J21" s="272">
        <f t="shared" si="1"/>
        <v>2.4700000000000002</v>
      </c>
      <c r="L21" s="320">
        <f>'Área - Produt - Servente'!M21</f>
        <v>2700</v>
      </c>
      <c r="M21" s="306">
        <f>M11</f>
        <v>6632.37</v>
      </c>
      <c r="N21" s="272">
        <f t="shared" si="2"/>
        <v>2.46</v>
      </c>
      <c r="P21" s="111">
        <f>'Área - Produt - Servente'!Q21</f>
        <v>2700</v>
      </c>
      <c r="Q21" s="306">
        <f>Q11</f>
        <v>6665.38</v>
      </c>
      <c r="R21" s="272">
        <f t="shared" si="3"/>
        <v>2.4700000000000002</v>
      </c>
      <c r="T21" s="111">
        <f>'Área - Produt - Servente'!U21</f>
        <v>2700</v>
      </c>
      <c r="U21" s="306">
        <f>U11</f>
        <v>6596.63</v>
      </c>
      <c r="V21" s="272">
        <f t="shared" si="4"/>
        <v>2.44</v>
      </c>
      <c r="X21" s="111">
        <f>'Área - Produt - Servente'!Y21</f>
        <v>2700</v>
      </c>
      <c r="Y21" s="306">
        <f>Y11</f>
        <v>6408.17</v>
      </c>
      <c r="Z21" s="272">
        <f t="shared" si="5"/>
        <v>2.37</v>
      </c>
      <c r="AB21" s="111">
        <f>'Área - Produt - Servente'!AC21</f>
        <v>2700</v>
      </c>
      <c r="AC21" s="306">
        <f>AC11</f>
        <v>6632.37</v>
      </c>
      <c r="AD21" s="272">
        <f t="shared" si="6"/>
        <v>2.46</v>
      </c>
      <c r="AF21" s="111">
        <f>'Área - Produt - Servente'!AG21</f>
        <v>2700</v>
      </c>
      <c r="AG21" s="306">
        <f>AG11</f>
        <v>6178.42</v>
      </c>
      <c r="AH21" s="272">
        <f t="shared" si="7"/>
        <v>2.29</v>
      </c>
      <c r="AJ21" s="111">
        <f>'Área - Produt - Servente'!AK21</f>
        <v>9735</v>
      </c>
      <c r="AK21" s="306">
        <f>AK11</f>
        <v>6051.33</v>
      </c>
      <c r="AL21" s="272">
        <f t="shared" si="8"/>
        <v>0.62</v>
      </c>
    </row>
    <row r="22" spans="1:38" ht="31" customHeight="1">
      <c r="A22" s="730"/>
      <c r="B22" s="169" t="s">
        <v>134</v>
      </c>
      <c r="C22" s="175"/>
      <c r="D22" s="322">
        <f>'Área - Produt - Servente'!E22</f>
        <v>2700</v>
      </c>
      <c r="E22" s="272">
        <f>E11</f>
        <v>6335.15</v>
      </c>
      <c r="F22" s="272">
        <f t="shared" si="0"/>
        <v>2.35</v>
      </c>
      <c r="H22" s="111">
        <f>'Área - Produt - Servente'!I22</f>
        <v>2700</v>
      </c>
      <c r="I22" s="272">
        <f>I11</f>
        <v>6659.88</v>
      </c>
      <c r="J22" s="272">
        <f t="shared" si="1"/>
        <v>2.4700000000000002</v>
      </c>
      <c r="L22" s="320">
        <f>'Área - Produt - Servente'!M22</f>
        <v>2700</v>
      </c>
      <c r="M22" s="306">
        <f>M11</f>
        <v>6632.37</v>
      </c>
      <c r="N22" s="272">
        <f t="shared" si="2"/>
        <v>2.46</v>
      </c>
      <c r="P22" s="111">
        <f>'Área - Produt - Servente'!Q22</f>
        <v>2700</v>
      </c>
      <c r="Q22" s="306">
        <f>Q11</f>
        <v>6665.38</v>
      </c>
      <c r="R22" s="272">
        <f t="shared" si="3"/>
        <v>2.4700000000000002</v>
      </c>
      <c r="T22" s="111">
        <f>'Área - Produt - Servente'!U22</f>
        <v>2700</v>
      </c>
      <c r="U22" s="306">
        <f>U11</f>
        <v>6596.63</v>
      </c>
      <c r="V22" s="272">
        <f t="shared" si="4"/>
        <v>2.44</v>
      </c>
      <c r="X22" s="111">
        <f>'Área - Produt - Servente'!Y22</f>
        <v>2700</v>
      </c>
      <c r="Y22" s="306">
        <f>Y11</f>
        <v>6408.17</v>
      </c>
      <c r="Z22" s="272">
        <f t="shared" si="5"/>
        <v>2.37</v>
      </c>
      <c r="AB22" s="111">
        <f>'Área - Produt - Servente'!AC22</f>
        <v>2700</v>
      </c>
      <c r="AC22" s="306">
        <f>AC11</f>
        <v>6632.37</v>
      </c>
      <c r="AD22" s="272">
        <f t="shared" si="6"/>
        <v>2.46</v>
      </c>
      <c r="AF22" s="111">
        <f>'Área - Produt - Servente'!AG22</f>
        <v>2700</v>
      </c>
      <c r="AG22" s="306">
        <f>AG11</f>
        <v>6178.42</v>
      </c>
      <c r="AH22" s="272">
        <f t="shared" si="7"/>
        <v>2.29</v>
      </c>
      <c r="AJ22" s="111">
        <f>'Área - Produt - Servente'!AK22</f>
        <v>2700</v>
      </c>
      <c r="AK22" s="306">
        <f>AK11</f>
        <v>6051.33</v>
      </c>
      <c r="AL22" s="272">
        <f t="shared" si="8"/>
        <v>2.2400000000000002</v>
      </c>
    </row>
    <row r="23" spans="1:38" ht="33" customHeight="1">
      <c r="A23" s="730"/>
      <c r="B23" s="319" t="s">
        <v>338</v>
      </c>
      <c r="C23" s="151"/>
      <c r="D23" s="153"/>
      <c r="E23" s="155"/>
      <c r="F23" s="173"/>
      <c r="H23" s="153"/>
      <c r="I23" s="178"/>
      <c r="J23" s="179"/>
      <c r="L23" s="153"/>
      <c r="M23" s="178"/>
      <c r="N23" s="179"/>
      <c r="P23" s="153"/>
      <c r="Q23" s="155"/>
      <c r="R23" s="173"/>
      <c r="T23" s="153"/>
      <c r="U23" s="155"/>
      <c r="V23" s="173"/>
      <c r="X23" s="153"/>
      <c r="Y23" s="155"/>
      <c r="Z23" s="323"/>
      <c r="AB23" s="153"/>
      <c r="AC23" s="155"/>
      <c r="AD23" s="173"/>
      <c r="AF23" s="153"/>
      <c r="AG23" s="155"/>
      <c r="AH23" s="173"/>
      <c r="AJ23" s="153"/>
      <c r="AK23" s="155"/>
      <c r="AL23" s="173"/>
    </row>
    <row r="24" spans="1:38" ht="30" customHeight="1">
      <c r="A24" s="730"/>
      <c r="B24" s="180" t="s">
        <v>340</v>
      </c>
      <c r="C24" s="175"/>
      <c r="D24" s="324">
        <f>'Área - Produt - Servente'!E24</f>
        <v>380</v>
      </c>
      <c r="E24" s="325">
        <f>E11</f>
        <v>6335.15</v>
      </c>
      <c r="F24" s="272">
        <f>ROUND((16/(188.76*D24))*E24,5)</f>
        <v>1.41</v>
      </c>
      <c r="H24" s="111">
        <f>'Área - Produt - Servente'!I24</f>
        <v>380</v>
      </c>
      <c r="I24" s="272">
        <f>I11</f>
        <v>6659.88</v>
      </c>
      <c r="J24" s="326">
        <f>ROUND((16/(188.76*H24))*I24,5)</f>
        <v>1.49</v>
      </c>
      <c r="L24" s="111">
        <f>'Área - Produt - Servente'!M24</f>
        <v>380</v>
      </c>
      <c r="M24" s="306">
        <f>M11</f>
        <v>6632.37</v>
      </c>
      <c r="N24" s="326">
        <f>ROUND((16/(188.76*L24))*M24,5)</f>
        <v>1.48</v>
      </c>
      <c r="P24" s="111">
        <f>'Área - Produt - Servente'!Q24</f>
        <v>380</v>
      </c>
      <c r="Q24" s="306">
        <f>Q11</f>
        <v>6665.38</v>
      </c>
      <c r="R24" s="326">
        <f>ROUND((16/(188.76*P24))*Q24,5)</f>
        <v>1.49</v>
      </c>
      <c r="T24" s="320">
        <f>'Área - Produt - Servente'!U24</f>
        <v>380</v>
      </c>
      <c r="U24" s="306">
        <f>U11</f>
        <v>6596.63</v>
      </c>
      <c r="V24" s="326">
        <f>ROUND((16/(188.76*T24))*U24,5)</f>
        <v>1.47</v>
      </c>
      <c r="X24" s="111">
        <f>'Área - Produt - Servente'!Y24</f>
        <v>380</v>
      </c>
      <c r="Y24" s="306">
        <f>Y11</f>
        <v>6408.17</v>
      </c>
      <c r="Z24" s="326">
        <f>ROUND((16/(188.76*X24))*Y24,5)</f>
        <v>1.43</v>
      </c>
      <c r="AB24" s="111">
        <f>'Área - Produt - Servente'!AC24</f>
        <v>380</v>
      </c>
      <c r="AC24" s="306">
        <f>AC11</f>
        <v>6632.37</v>
      </c>
      <c r="AD24" s="326">
        <f>ROUND((16/(188.76*AB24))*AC24,5)</f>
        <v>1.48</v>
      </c>
      <c r="AF24" s="111">
        <f>'Área - Produt - Servente'!AG24</f>
        <v>380</v>
      </c>
      <c r="AG24" s="306">
        <f>AG11</f>
        <v>6178.42</v>
      </c>
      <c r="AH24" s="326">
        <f>ROUND((16/(188.76*AF24))*AG24,5)</f>
        <v>1.38</v>
      </c>
      <c r="AJ24" s="111">
        <f>'Área - Produt - Servente'!AK24</f>
        <v>380</v>
      </c>
      <c r="AK24" s="306">
        <f>AK11</f>
        <v>6051.33</v>
      </c>
      <c r="AL24" s="326">
        <f>ROUND((16/(188.76*AJ24))*AK24,5)</f>
        <v>1.35</v>
      </c>
    </row>
    <row r="25" spans="1:38" ht="30" customHeight="1" thickBot="1">
      <c r="A25" s="731"/>
      <c r="B25" s="169" t="s">
        <v>339</v>
      </c>
      <c r="C25" s="175"/>
      <c r="D25" s="324">
        <f>'Área - Produt - Servente'!E25</f>
        <v>380</v>
      </c>
      <c r="E25" s="272">
        <f>E11</f>
        <v>6335.15</v>
      </c>
      <c r="F25" s="272">
        <f>ROUND((16/(188.76*D25))*E25,5)</f>
        <v>1.41</v>
      </c>
      <c r="H25" s="111">
        <f>'Área - Produt - Servente'!I25</f>
        <v>380</v>
      </c>
      <c r="I25" s="272">
        <f>I11</f>
        <v>6659.88</v>
      </c>
      <c r="J25" s="272">
        <f>ROUND((16/(188.76*H25))*I25,5)</f>
        <v>1.49</v>
      </c>
      <c r="L25" s="111">
        <f>'Área - Produt - Servente'!M25</f>
        <v>380</v>
      </c>
      <c r="M25" s="306">
        <f>M11</f>
        <v>6632.37</v>
      </c>
      <c r="N25" s="272">
        <f>ROUND((16/(188.76*L25))*M25,5)</f>
        <v>1.48</v>
      </c>
      <c r="P25" s="111">
        <f>'Área - Produt - Servente'!Q25</f>
        <v>380</v>
      </c>
      <c r="Q25" s="306">
        <f>Q11</f>
        <v>6665.38</v>
      </c>
      <c r="R25" s="272">
        <f>ROUND((16/(188.76*P25))*Q25,5)</f>
        <v>1.49</v>
      </c>
      <c r="T25" s="320">
        <f>'Área - Produt - Servente'!U25</f>
        <v>380</v>
      </c>
      <c r="U25" s="306">
        <f>U11</f>
        <v>6596.63</v>
      </c>
      <c r="V25" s="272">
        <f>ROUND((16/(188.76*T25))*U25,5)</f>
        <v>1.47</v>
      </c>
      <c r="X25" s="111">
        <f>'Área - Produt - Servente'!Y25</f>
        <v>380</v>
      </c>
      <c r="Y25" s="306">
        <f>Y11</f>
        <v>6408.17</v>
      </c>
      <c r="Z25" s="272">
        <f>ROUND((16/(188.76*X25))*Y25,5)</f>
        <v>1.43</v>
      </c>
      <c r="AB25" s="111">
        <f>'Área - Produt - Servente'!AC25</f>
        <v>380</v>
      </c>
      <c r="AC25" s="306">
        <f>AC11</f>
        <v>6632.37</v>
      </c>
      <c r="AD25" s="272">
        <f>ROUND((16/(188.76*AB25))*AC25,5)</f>
        <v>1.48</v>
      </c>
      <c r="AF25" s="111">
        <f>'Área - Produt - Servente'!AG25</f>
        <v>380</v>
      </c>
      <c r="AG25" s="306">
        <f>AG11</f>
        <v>6178.42</v>
      </c>
      <c r="AH25" s="272">
        <f>ROUND((16/(188.76*AF25))*AG25,5)</f>
        <v>1.38</v>
      </c>
      <c r="AJ25" s="111">
        <f>'Área - Produt - Servente'!AK25</f>
        <v>380</v>
      </c>
      <c r="AK25" s="306">
        <f>AK11</f>
        <v>6051.33</v>
      </c>
      <c r="AL25" s="272">
        <f>ROUND((16/(188.76*AJ25))*AK25,5)</f>
        <v>1.35</v>
      </c>
    </row>
    <row r="26" spans="1:38">
      <c r="A26" s="133"/>
      <c r="B26" s="93"/>
      <c r="C26" s="175"/>
      <c r="D26" s="200"/>
      <c r="E26" s="175"/>
      <c r="F26" s="200"/>
      <c r="H26" s="200"/>
      <c r="I26" s="175"/>
      <c r="J26" s="200"/>
      <c r="L26" s="200"/>
      <c r="M26" s="175"/>
      <c r="N26" s="200"/>
      <c r="P26" s="200"/>
      <c r="Q26" s="175"/>
      <c r="R26" s="200"/>
      <c r="T26" s="200"/>
      <c r="U26" s="175"/>
      <c r="V26" s="200"/>
      <c r="X26" s="200"/>
      <c r="Y26" s="175"/>
      <c r="Z26" s="200"/>
      <c r="AB26" s="200"/>
      <c r="AC26" s="175"/>
      <c r="AD26" s="200"/>
      <c r="AF26" s="200"/>
      <c r="AG26" s="175"/>
      <c r="AH26" s="200"/>
      <c r="AJ26" s="200"/>
      <c r="AK26" s="175"/>
      <c r="AL26" s="200"/>
    </row>
  </sheetData>
  <mergeCells count="15">
    <mergeCell ref="T8:V8"/>
    <mergeCell ref="X8:Z8"/>
    <mergeCell ref="AB8:AD8"/>
    <mergeCell ref="AF8:AH8"/>
    <mergeCell ref="AJ8:AL8"/>
    <mergeCell ref="A1:AL1"/>
    <mergeCell ref="A2:AL2"/>
    <mergeCell ref="A4:I4"/>
    <mergeCell ref="J4:AL4"/>
    <mergeCell ref="A6:AL6"/>
    <mergeCell ref="A9:A25"/>
    <mergeCell ref="D8:F8"/>
    <mergeCell ref="H8:J8"/>
    <mergeCell ref="L8:N8"/>
    <mergeCell ref="P8:R8"/>
  </mergeCells>
  <pageMargins left="0.9055118110236221" right="0.51181102362204722" top="0.78740157480314965" bottom="0.78740157480314965" header="0.31496062992125984" footer="0.31496062992125984"/>
  <pageSetup paperSize="9" scale="26" fitToHeight="0" orientation="landscape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O31"/>
  <sheetViews>
    <sheetView showGridLines="0" zoomScale="70" zoomScaleNormal="70" workbookViewId="0">
      <pane xSplit="2" topLeftCell="X1" activePane="topRight" state="frozen"/>
      <selection activeCell="A8" sqref="A8"/>
      <selection pane="topRight" activeCell="A6" sqref="A6:AL6"/>
    </sheetView>
  </sheetViews>
  <sheetFormatPr defaultRowHeight="15.5"/>
  <cols>
    <col min="1" max="1" width="14.1796875" style="66" customWidth="1"/>
    <col min="2" max="2" width="39.90625" style="66" customWidth="1"/>
    <col min="3" max="3" width="1.453125" style="66" customWidth="1"/>
    <col min="4" max="4" width="15.54296875" style="66" customWidth="1"/>
    <col min="5" max="5" width="16" style="66" customWidth="1"/>
    <col min="6" max="6" width="15.1796875" style="66" customWidth="1"/>
    <col min="7" max="7" width="1.453125" style="66" customWidth="1"/>
    <col min="8" max="8" width="16.54296875" style="66" customWidth="1"/>
    <col min="9" max="9" width="16.1796875" style="66" customWidth="1"/>
    <col min="10" max="10" width="14.54296875" style="66" customWidth="1"/>
    <col min="11" max="11" width="1.453125" style="35" customWidth="1"/>
    <col min="12" max="12" width="18.26953125" style="66" customWidth="1"/>
    <col min="13" max="13" width="14.7265625" style="66" customWidth="1"/>
    <col min="14" max="14" width="15.1796875" style="66" customWidth="1"/>
    <col min="15" max="15" width="1.453125" style="66" customWidth="1"/>
    <col min="16" max="16" width="20.1796875" style="66" customWidth="1"/>
    <col min="17" max="17" width="14.81640625" style="66" customWidth="1"/>
    <col min="18" max="18" width="15.26953125" style="66" customWidth="1"/>
    <col min="19" max="19" width="1.453125" style="66" customWidth="1"/>
    <col min="20" max="20" width="20.1796875" style="66" customWidth="1"/>
    <col min="21" max="21" width="14.81640625" style="66" customWidth="1"/>
    <col min="22" max="22" width="15.26953125" style="66" customWidth="1"/>
    <col min="23" max="23" width="1.453125" style="66" customWidth="1"/>
    <col min="24" max="24" width="20.1796875" style="66" customWidth="1"/>
    <col min="25" max="25" width="14.81640625" style="66" customWidth="1"/>
    <col min="26" max="26" width="15.26953125" style="66" customWidth="1"/>
    <col min="27" max="27" width="1.453125" style="66" customWidth="1"/>
    <col min="28" max="28" width="20.1796875" style="66" customWidth="1"/>
    <col min="29" max="29" width="14.81640625" style="66" customWidth="1"/>
    <col min="30" max="30" width="15.26953125" style="66" customWidth="1"/>
    <col min="31" max="31" width="1.453125" style="66" customWidth="1"/>
    <col min="32" max="32" width="20.1796875" style="66" customWidth="1"/>
    <col min="33" max="33" width="14.81640625" style="66" customWidth="1"/>
    <col min="34" max="34" width="15.26953125" style="66" customWidth="1"/>
    <col min="35" max="35" width="1.453125" style="66" customWidth="1"/>
    <col min="36" max="36" width="20.1796875" style="66" customWidth="1"/>
    <col min="37" max="37" width="14.81640625" style="66" customWidth="1"/>
    <col min="38" max="38" width="15.26953125" style="66" customWidth="1"/>
    <col min="39" max="993" width="9.54296875" style="66" customWidth="1"/>
    <col min="994" max="16384" width="8.7265625" style="66"/>
  </cols>
  <sheetData>
    <row r="1" spans="1:41" s="64" customFormat="1" ht="22.5" customHeight="1">
      <c r="A1" s="851" t="s">
        <v>0</v>
      </c>
      <c r="B1" s="852"/>
      <c r="C1" s="852"/>
      <c r="D1" s="852"/>
      <c r="E1" s="852"/>
      <c r="F1" s="852"/>
      <c r="G1" s="852"/>
      <c r="H1" s="852"/>
      <c r="I1" s="852"/>
      <c r="J1" s="852"/>
      <c r="K1" s="852"/>
      <c r="L1" s="852"/>
      <c r="M1" s="852"/>
      <c r="N1" s="852"/>
      <c r="O1" s="852"/>
      <c r="P1" s="852"/>
      <c r="Q1" s="852"/>
      <c r="R1" s="852"/>
      <c r="S1" s="852"/>
      <c r="T1" s="852"/>
      <c r="U1" s="852"/>
      <c r="V1" s="852"/>
      <c r="W1" s="852"/>
      <c r="X1" s="852"/>
      <c r="Y1" s="852"/>
      <c r="Z1" s="852"/>
      <c r="AA1" s="852"/>
      <c r="AB1" s="852"/>
      <c r="AC1" s="852"/>
      <c r="AD1" s="852"/>
      <c r="AE1" s="852"/>
      <c r="AF1" s="852"/>
      <c r="AG1" s="852"/>
      <c r="AH1" s="852"/>
      <c r="AI1" s="852"/>
      <c r="AJ1" s="852"/>
      <c r="AK1" s="852"/>
      <c r="AL1" s="853"/>
    </row>
    <row r="2" spans="1:41" s="64" customFormat="1" ht="22" customHeight="1">
      <c r="A2" s="481" t="s">
        <v>135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481"/>
      <c r="Z2" s="481"/>
      <c r="AA2" s="481"/>
      <c r="AB2" s="481"/>
      <c r="AC2" s="481"/>
      <c r="AD2" s="481"/>
      <c r="AE2" s="481"/>
      <c r="AF2" s="481"/>
      <c r="AG2" s="481"/>
      <c r="AH2" s="481"/>
      <c r="AI2" s="481"/>
      <c r="AJ2" s="481"/>
      <c r="AK2" s="481"/>
      <c r="AL2" s="481"/>
    </row>
    <row r="3" spans="1:41" s="64" customFormat="1" ht="6" customHeight="1">
      <c r="A3" s="101"/>
      <c r="K3" s="35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41" s="64" customFormat="1" ht="18" customHeight="1">
      <c r="A4" s="854" t="s">
        <v>1</v>
      </c>
      <c r="B4" s="600"/>
      <c r="C4" s="600"/>
      <c r="D4" s="600"/>
      <c r="E4" s="600"/>
      <c r="F4" s="600"/>
      <c r="G4" s="600"/>
      <c r="H4" s="600"/>
      <c r="I4" s="486" t="str">
        <f>CCT!J4</f>
        <v>10707.720194-2025-26</v>
      </c>
      <c r="J4" s="696"/>
      <c r="K4" s="696"/>
      <c r="L4" s="696"/>
      <c r="M4" s="696"/>
      <c r="N4" s="696"/>
      <c r="O4" s="696"/>
      <c r="P4" s="696"/>
      <c r="Q4" s="696"/>
      <c r="R4" s="696"/>
      <c r="S4" s="696"/>
      <c r="T4" s="696"/>
      <c r="U4" s="696"/>
      <c r="V4" s="696"/>
      <c r="W4" s="696"/>
      <c r="X4" s="696"/>
      <c r="Y4" s="696"/>
      <c r="Z4" s="696"/>
      <c r="AA4" s="696"/>
      <c r="AB4" s="696"/>
      <c r="AC4" s="696"/>
      <c r="AD4" s="696"/>
      <c r="AE4" s="696"/>
      <c r="AF4" s="696"/>
      <c r="AG4" s="696"/>
      <c r="AH4" s="696"/>
      <c r="AI4" s="696"/>
      <c r="AJ4" s="696"/>
      <c r="AK4" s="696"/>
      <c r="AL4" s="487"/>
    </row>
    <row r="5" spans="1:41" s="64" customFormat="1" ht="9" customHeight="1">
      <c r="K5" s="35"/>
    </row>
    <row r="6" spans="1:41" s="64" customFormat="1" ht="18" customHeight="1">
      <c r="A6" s="477" t="s">
        <v>2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477"/>
      <c r="AF6" s="477"/>
      <c r="AG6" s="477"/>
      <c r="AH6" s="477"/>
      <c r="AI6" s="477"/>
      <c r="AJ6" s="477"/>
      <c r="AK6" s="477"/>
      <c r="AL6" s="477"/>
    </row>
    <row r="7" spans="1:41" ht="11.15" customHeight="1" thickBot="1">
      <c r="B7" s="132"/>
      <c r="C7" s="132"/>
      <c r="D7" s="132"/>
      <c r="E7" s="132"/>
      <c r="F7" s="132"/>
      <c r="G7" s="132"/>
      <c r="H7" s="132"/>
      <c r="I7" s="132"/>
      <c r="J7" s="132"/>
      <c r="N7" s="132"/>
      <c r="R7" s="132"/>
      <c r="V7" s="132"/>
      <c r="Z7" s="132"/>
      <c r="AD7" s="132"/>
      <c r="AH7" s="132"/>
      <c r="AL7" s="132"/>
    </row>
    <row r="8" spans="1:41" ht="18" customHeight="1">
      <c r="A8" s="856" t="s">
        <v>154</v>
      </c>
      <c r="B8" s="672" t="s">
        <v>57</v>
      </c>
      <c r="C8" s="201"/>
      <c r="D8" s="726" t="s">
        <v>136</v>
      </c>
      <c r="E8" s="727"/>
      <c r="F8" s="728"/>
      <c r="G8" s="202"/>
      <c r="H8" s="722" t="s">
        <v>137</v>
      </c>
      <c r="I8" s="722"/>
      <c r="J8" s="722"/>
      <c r="K8" s="203"/>
      <c r="L8" s="703" t="s">
        <v>138</v>
      </c>
      <c r="M8" s="703"/>
      <c r="N8" s="703"/>
      <c r="O8" s="202"/>
      <c r="P8" s="723" t="s">
        <v>139</v>
      </c>
      <c r="Q8" s="724"/>
      <c r="R8" s="855"/>
      <c r="S8" s="202"/>
      <c r="T8" s="705" t="s">
        <v>140</v>
      </c>
      <c r="U8" s="705"/>
      <c r="V8" s="859"/>
      <c r="W8" s="202"/>
      <c r="X8" s="707" t="s">
        <v>141</v>
      </c>
      <c r="Y8" s="708"/>
      <c r="Z8" s="860"/>
      <c r="AA8" s="202"/>
      <c r="AB8" s="711" t="s">
        <v>142</v>
      </c>
      <c r="AC8" s="711"/>
      <c r="AD8" s="861"/>
      <c r="AE8" s="202"/>
      <c r="AF8" s="713" t="s">
        <v>143</v>
      </c>
      <c r="AG8" s="714"/>
      <c r="AH8" s="862"/>
      <c r="AI8" s="279"/>
      <c r="AJ8" s="716" t="s">
        <v>144</v>
      </c>
      <c r="AK8" s="717"/>
      <c r="AL8" s="718"/>
    </row>
    <row r="9" spans="1:41" ht="45" customHeight="1">
      <c r="A9" s="857"/>
      <c r="B9" s="672"/>
      <c r="C9" s="205"/>
      <c r="D9" s="327" t="s">
        <v>90</v>
      </c>
      <c r="E9" s="328" t="s">
        <v>91</v>
      </c>
      <c r="F9" s="329" t="s">
        <v>92</v>
      </c>
      <c r="G9" s="188"/>
      <c r="H9" s="327" t="s">
        <v>90</v>
      </c>
      <c r="I9" s="328" t="s">
        <v>91</v>
      </c>
      <c r="J9" s="329" t="s">
        <v>92</v>
      </c>
      <c r="K9" s="208"/>
      <c r="L9" s="327" t="s">
        <v>90</v>
      </c>
      <c r="M9" s="328" t="s">
        <v>91</v>
      </c>
      <c r="N9" s="329" t="s">
        <v>92</v>
      </c>
      <c r="O9" s="188"/>
      <c r="P9" s="327" t="s">
        <v>90</v>
      </c>
      <c r="Q9" s="328" t="s">
        <v>91</v>
      </c>
      <c r="R9" s="329" t="s">
        <v>92</v>
      </c>
      <c r="S9" s="188"/>
      <c r="T9" s="327" t="s">
        <v>90</v>
      </c>
      <c r="U9" s="328" t="s">
        <v>91</v>
      </c>
      <c r="V9" s="329" t="s">
        <v>92</v>
      </c>
      <c r="W9" s="188"/>
      <c r="X9" s="327" t="s">
        <v>90</v>
      </c>
      <c r="Y9" s="328" t="s">
        <v>91</v>
      </c>
      <c r="Z9" s="329" t="s">
        <v>92</v>
      </c>
      <c r="AA9" s="188"/>
      <c r="AB9" s="327" t="s">
        <v>90</v>
      </c>
      <c r="AC9" s="328" t="s">
        <v>91</v>
      </c>
      <c r="AD9" s="329" t="s">
        <v>92</v>
      </c>
      <c r="AE9" s="188"/>
      <c r="AF9" s="327" t="s">
        <v>90</v>
      </c>
      <c r="AG9" s="328" t="s">
        <v>91</v>
      </c>
      <c r="AH9" s="329" t="s">
        <v>92</v>
      </c>
      <c r="AI9" s="186"/>
      <c r="AJ9" s="328" t="s">
        <v>90</v>
      </c>
      <c r="AK9" s="328" t="s">
        <v>91</v>
      </c>
      <c r="AL9" s="330" t="s">
        <v>92</v>
      </c>
    </row>
    <row r="10" spans="1:41" ht="18" customHeight="1">
      <c r="A10" s="857"/>
      <c r="B10" s="321" t="s">
        <v>41</v>
      </c>
      <c r="C10" s="212"/>
      <c r="D10" s="213"/>
      <c r="E10" s="213"/>
      <c r="F10" s="213"/>
      <c r="G10" s="188"/>
      <c r="H10" s="213"/>
      <c r="I10" s="213"/>
      <c r="J10" s="213"/>
      <c r="K10" s="208"/>
      <c r="L10" s="213"/>
      <c r="M10" s="213"/>
      <c r="N10" s="213"/>
      <c r="O10" s="188"/>
      <c r="P10" s="213"/>
      <c r="Q10" s="213"/>
      <c r="R10" s="331"/>
      <c r="S10" s="188"/>
      <c r="T10" s="213"/>
      <c r="U10" s="213"/>
      <c r="V10" s="331"/>
      <c r="W10" s="188"/>
      <c r="X10" s="213"/>
      <c r="Y10" s="213"/>
      <c r="Z10" s="331"/>
      <c r="AA10" s="188"/>
      <c r="AB10" s="213"/>
      <c r="AC10" s="213"/>
      <c r="AD10" s="331"/>
      <c r="AE10" s="188"/>
      <c r="AF10" s="213"/>
      <c r="AG10" s="213"/>
      <c r="AH10" s="331"/>
      <c r="AI10" s="186"/>
      <c r="AJ10" s="152"/>
      <c r="AK10" s="213"/>
      <c r="AL10" s="154"/>
    </row>
    <row r="11" spans="1:41" s="69" customFormat="1" ht="18" customHeight="1">
      <c r="A11" s="857"/>
      <c r="B11" s="214" t="s">
        <v>42</v>
      </c>
      <c r="C11" s="215"/>
      <c r="D11" s="332"/>
      <c r="E11" s="160"/>
      <c r="F11" s="333"/>
      <c r="G11" s="334"/>
      <c r="H11" s="332"/>
      <c r="I11" s="160"/>
      <c r="J11" s="333"/>
      <c r="K11" s="335"/>
      <c r="L11" s="332"/>
      <c r="M11" s="160"/>
      <c r="N11" s="333"/>
      <c r="O11" s="334"/>
      <c r="P11" s="332"/>
      <c r="Q11" s="160"/>
      <c r="R11" s="333"/>
      <c r="S11" s="334"/>
      <c r="T11" s="332"/>
      <c r="U11" s="160"/>
      <c r="V11" s="333"/>
      <c r="W11" s="334"/>
      <c r="X11" s="332"/>
      <c r="Y11" s="160"/>
      <c r="Z11" s="333"/>
      <c r="AA11" s="334"/>
      <c r="AB11" s="332"/>
      <c r="AC11" s="160"/>
      <c r="AD11" s="333"/>
      <c r="AE11" s="334"/>
      <c r="AF11" s="332">
        <f>'Preço Homem-Mês-m2'!AH11</f>
        <v>5.15</v>
      </c>
      <c r="AG11" s="164">
        <v>113.51</v>
      </c>
      <c r="AH11" s="333">
        <f>ROUND(AG11*AF11,2)</f>
        <v>584.58000000000004</v>
      </c>
      <c r="AI11" s="336"/>
      <c r="AJ11" s="337"/>
      <c r="AK11" s="160"/>
      <c r="AL11" s="272"/>
    </row>
    <row r="12" spans="1:41" ht="18" customHeight="1">
      <c r="A12" s="857"/>
      <c r="B12" s="165" t="s">
        <v>43</v>
      </c>
      <c r="C12" s="222"/>
      <c r="D12" s="332">
        <f>'Preço Homem-Mês-m2'!F12</f>
        <v>5.28</v>
      </c>
      <c r="E12" s="158">
        <v>5752.5</v>
      </c>
      <c r="F12" s="333">
        <f>ROUND(E12*D12,2)</f>
        <v>30373.200000000001</v>
      </c>
      <c r="G12" s="334"/>
      <c r="H12" s="332">
        <f>'Preço Homem-Mês-m2'!J12</f>
        <v>27.58</v>
      </c>
      <c r="I12" s="164">
        <v>220</v>
      </c>
      <c r="J12" s="333">
        <f>ROUND(I12*H12,2)</f>
        <v>6067.6</v>
      </c>
      <c r="K12" s="335"/>
      <c r="L12" s="332">
        <f>'Preço Homem-Mês-m2'!N12</f>
        <v>40.64</v>
      </c>
      <c r="M12" s="164">
        <v>151.5</v>
      </c>
      <c r="N12" s="333">
        <f>ROUND(M12*L12,2)</f>
        <v>6156.96</v>
      </c>
      <c r="O12" s="334"/>
      <c r="P12" s="332">
        <f>'Preço Homem-Mês-m2'!R12</f>
        <v>18.62</v>
      </c>
      <c r="Q12" s="164">
        <v>315.23</v>
      </c>
      <c r="R12" s="333">
        <f>ROUND(Q12*P12,2)</f>
        <v>5869.58</v>
      </c>
      <c r="S12" s="334"/>
      <c r="T12" s="332">
        <f>'Preço Homem-Mês-m2'!V12</f>
        <v>9.89</v>
      </c>
      <c r="U12" s="164">
        <v>570</v>
      </c>
      <c r="V12" s="333">
        <f>ROUND(U12*T12,2)</f>
        <v>5637.3</v>
      </c>
      <c r="W12" s="334"/>
      <c r="X12" s="332">
        <f>'Preço Homem-Mês-m2'!Z12</f>
        <v>12.14</v>
      </c>
      <c r="Y12" s="164">
        <v>290.73</v>
      </c>
      <c r="Z12" s="333">
        <f>ROUND(Y12*X12,2)</f>
        <v>3529.46</v>
      </c>
      <c r="AA12" s="334"/>
      <c r="AB12" s="332">
        <f>'Preço Homem-Mês-m2'!AD12</f>
        <v>30.85</v>
      </c>
      <c r="AC12" s="164">
        <v>193.96</v>
      </c>
      <c r="AD12" s="333">
        <f>ROUND(AC12*AB12,2)</f>
        <v>5983.67</v>
      </c>
      <c r="AE12" s="334"/>
      <c r="AF12" s="332">
        <f>'Preço Homem-Mês-m2'!AH12</f>
        <v>4.07</v>
      </c>
      <c r="AG12" s="164">
        <v>1504.76</v>
      </c>
      <c r="AH12" s="333">
        <f t="shared" ref="AH12:AH17" si="0">ROUND(AG12*AF12,2)</f>
        <v>6124.37</v>
      </c>
      <c r="AI12" s="336"/>
      <c r="AJ12" s="337">
        <f>'Preço Homem-Mês-m2'!AL12</f>
        <v>5.04</v>
      </c>
      <c r="AK12" s="164">
        <v>437.44</v>
      </c>
      <c r="AL12" s="272">
        <f>ROUND(AK12*AJ12,2)</f>
        <v>2204.6999999999998</v>
      </c>
      <c r="AO12" s="338"/>
    </row>
    <row r="13" spans="1:41" ht="18" customHeight="1">
      <c r="A13" s="857"/>
      <c r="B13" s="165" t="s">
        <v>44</v>
      </c>
      <c r="C13" s="222"/>
      <c r="D13" s="332"/>
      <c r="E13" s="167"/>
      <c r="F13" s="333"/>
      <c r="G13" s="334"/>
      <c r="H13" s="332"/>
      <c r="I13" s="167"/>
      <c r="J13" s="333"/>
      <c r="K13" s="335"/>
      <c r="L13" s="332"/>
      <c r="M13" s="167"/>
      <c r="N13" s="333"/>
      <c r="O13" s="334"/>
      <c r="P13" s="332"/>
      <c r="Q13" s="167"/>
      <c r="R13" s="333"/>
      <c r="S13" s="334"/>
      <c r="T13" s="332"/>
      <c r="U13" s="167"/>
      <c r="V13" s="333"/>
      <c r="W13" s="334"/>
      <c r="X13" s="332"/>
      <c r="Y13" s="167"/>
      <c r="Z13" s="333"/>
      <c r="AA13" s="334"/>
      <c r="AB13" s="332"/>
      <c r="AC13" s="167"/>
      <c r="AD13" s="333"/>
      <c r="AE13" s="334"/>
      <c r="AF13" s="332">
        <f>'Preço Homem-Mês-m2'!AH13</f>
        <v>13.73</v>
      </c>
      <c r="AG13" s="164">
        <v>31.21</v>
      </c>
      <c r="AH13" s="333">
        <f t="shared" si="0"/>
        <v>428.51</v>
      </c>
      <c r="AI13" s="336"/>
      <c r="AJ13" s="337"/>
      <c r="AK13" s="167"/>
      <c r="AL13" s="272"/>
      <c r="AO13" s="339"/>
    </row>
    <row r="14" spans="1:41" ht="18" customHeight="1">
      <c r="A14" s="857"/>
      <c r="B14" s="165" t="s">
        <v>45</v>
      </c>
      <c r="C14" s="222"/>
      <c r="D14" s="332">
        <f>'Preço Homem-Mês-m2'!F14</f>
        <v>2.5299999999999998</v>
      </c>
      <c r="E14" s="158">
        <v>409.05</v>
      </c>
      <c r="F14" s="333">
        <f t="shared" ref="F14:F17" si="1">ROUND(E14*D14,2)</f>
        <v>1034.9000000000001</v>
      </c>
      <c r="G14" s="334"/>
      <c r="H14" s="332">
        <f>'Preço Homem-Mês-m2'!J14</f>
        <v>2.66</v>
      </c>
      <c r="I14" s="164">
        <v>6</v>
      </c>
      <c r="J14" s="333">
        <f>ROUND(I14*H14,2)</f>
        <v>15.96</v>
      </c>
      <c r="K14" s="335"/>
      <c r="L14" s="332"/>
      <c r="M14" s="164"/>
      <c r="N14" s="333"/>
      <c r="O14" s="334"/>
      <c r="P14" s="332"/>
      <c r="Q14" s="167"/>
      <c r="R14" s="333"/>
      <c r="S14" s="334"/>
      <c r="T14" s="332"/>
      <c r="U14" s="167"/>
      <c r="V14" s="333"/>
      <c r="W14" s="334"/>
      <c r="X14" s="332">
        <f>'Preço Homem-Mês-m2'!Z14</f>
        <v>2.56</v>
      </c>
      <c r="Y14" s="164">
        <v>16.64</v>
      </c>
      <c r="Z14" s="333">
        <f t="shared" ref="Z14:Z17" si="2">ROUND(Y14*X14,2)</f>
        <v>42.6</v>
      </c>
      <c r="AA14" s="334"/>
      <c r="AB14" s="332">
        <f>'Preço Homem-Mês-m2'!AD14</f>
        <v>2.65</v>
      </c>
      <c r="AC14" s="164">
        <v>41.35</v>
      </c>
      <c r="AD14" s="333">
        <f t="shared" ref="AD14:AD17" si="3">ROUND(AC14*AB14,2)</f>
        <v>109.58</v>
      </c>
      <c r="AE14" s="334"/>
      <c r="AF14" s="332">
        <f>'Preço Homem-Mês-m2'!AH14</f>
        <v>2.4700000000000002</v>
      </c>
      <c r="AG14" s="164">
        <v>90</v>
      </c>
      <c r="AH14" s="333">
        <f t="shared" si="0"/>
        <v>222.3</v>
      </c>
      <c r="AI14" s="336"/>
      <c r="AJ14" s="337">
        <f>'Preço Homem-Mês-m2'!AL14</f>
        <v>2.42</v>
      </c>
      <c r="AK14" s="164">
        <v>314.14999999999998</v>
      </c>
      <c r="AL14" s="272">
        <f t="shared" ref="AL14:AL17" si="4">ROUND(AK14*AJ14,2)</f>
        <v>760.24</v>
      </c>
      <c r="AO14" s="338"/>
    </row>
    <row r="15" spans="1:41" ht="18" customHeight="1">
      <c r="A15" s="857"/>
      <c r="B15" s="165" t="s">
        <v>46</v>
      </c>
      <c r="C15" s="222"/>
      <c r="D15" s="332">
        <f>'Preço Homem-Mês-m2'!F15</f>
        <v>4.22</v>
      </c>
      <c r="E15" s="158">
        <v>624.16999999999996</v>
      </c>
      <c r="F15" s="333">
        <f t="shared" si="1"/>
        <v>2634</v>
      </c>
      <c r="G15" s="334"/>
      <c r="H15" s="332"/>
      <c r="I15" s="168"/>
      <c r="J15" s="340"/>
      <c r="K15" s="335"/>
      <c r="L15" s="332"/>
      <c r="M15" s="168"/>
      <c r="N15" s="340"/>
      <c r="O15" s="334"/>
      <c r="P15" s="332"/>
      <c r="Q15" s="168"/>
      <c r="R15" s="340"/>
      <c r="S15" s="334"/>
      <c r="T15" s="332"/>
      <c r="U15" s="168"/>
      <c r="V15" s="340"/>
      <c r="W15" s="334"/>
      <c r="X15" s="332">
        <f>'Preço Homem-Mês-m2'!Z15</f>
        <v>4.2699999999999996</v>
      </c>
      <c r="Y15" s="164">
        <v>125.26</v>
      </c>
      <c r="Z15" s="333">
        <f t="shared" si="2"/>
        <v>534.86</v>
      </c>
      <c r="AA15" s="334"/>
      <c r="AB15" s="332">
        <f>'Preço Homem-Mês-m2'!AD15</f>
        <v>4.42</v>
      </c>
      <c r="AC15" s="164">
        <v>24.54</v>
      </c>
      <c r="AD15" s="333">
        <f t="shared" si="3"/>
        <v>108.47</v>
      </c>
      <c r="AE15" s="334"/>
      <c r="AF15" s="332">
        <f>'Preço Homem-Mês-m2'!AH15</f>
        <v>4.12</v>
      </c>
      <c r="AG15" s="164">
        <v>452.37</v>
      </c>
      <c r="AH15" s="333">
        <f t="shared" si="0"/>
        <v>1863.76</v>
      </c>
      <c r="AI15" s="336"/>
      <c r="AJ15" s="337">
        <f>'Preço Homem-Mês-m2'!AL15</f>
        <v>4.03</v>
      </c>
      <c r="AK15" s="164">
        <v>80.66</v>
      </c>
      <c r="AL15" s="272">
        <f t="shared" si="4"/>
        <v>325.06</v>
      </c>
      <c r="AO15" s="338"/>
    </row>
    <row r="16" spans="1:41" ht="18" customHeight="1">
      <c r="A16" s="857"/>
      <c r="B16" s="169" t="s">
        <v>47</v>
      </c>
      <c r="C16" s="222"/>
      <c r="D16" s="332">
        <f>'Preço Homem-Mês-m2'!F16</f>
        <v>16.670000000000002</v>
      </c>
      <c r="E16" s="158">
        <v>84.63</v>
      </c>
      <c r="F16" s="333">
        <f t="shared" si="1"/>
        <v>1410.78</v>
      </c>
      <c r="G16" s="334"/>
      <c r="H16" s="332">
        <f>'Preço Homem-Mês-m2'!J16</f>
        <v>22.2</v>
      </c>
      <c r="I16" s="164">
        <v>4</v>
      </c>
      <c r="J16" s="333">
        <f t="shared" ref="J16:J17" si="5">ROUND(I16*H16,2)</f>
        <v>88.8</v>
      </c>
      <c r="K16" s="335"/>
      <c r="L16" s="332">
        <f>'Preço Homem-Mês-m2'!N16</f>
        <v>22.11</v>
      </c>
      <c r="M16" s="164">
        <v>2.89</v>
      </c>
      <c r="N16" s="333">
        <f t="shared" ref="N16:N17" si="6">ROUND(M16*L16,2)</f>
        <v>63.9</v>
      </c>
      <c r="O16" s="334"/>
      <c r="P16" s="332">
        <f>'Preço Homem-Mês-m2'!R16</f>
        <v>22.22</v>
      </c>
      <c r="Q16" s="164">
        <v>7.45</v>
      </c>
      <c r="R16" s="333">
        <f t="shared" ref="R16:R17" si="7">ROUND(Q16*P16,2)</f>
        <v>165.54</v>
      </c>
      <c r="S16" s="334"/>
      <c r="T16" s="332">
        <f>'Preço Homem-Mês-m2'!V16</f>
        <v>21.99</v>
      </c>
      <c r="U16" s="164">
        <v>18</v>
      </c>
      <c r="V16" s="333">
        <f t="shared" ref="V16:V17" si="8">ROUND(U16*T16,2)</f>
        <v>395.82</v>
      </c>
      <c r="W16" s="334"/>
      <c r="X16" s="332">
        <f>'Preço Homem-Mês-m2'!Z16</f>
        <v>21.36</v>
      </c>
      <c r="Y16" s="164">
        <v>4.96</v>
      </c>
      <c r="Z16" s="333">
        <f t="shared" si="2"/>
        <v>105.95</v>
      </c>
      <c r="AA16" s="334"/>
      <c r="AB16" s="332">
        <f>'Preço Homem-Mês-m2'!AD16</f>
        <v>22.11</v>
      </c>
      <c r="AC16" s="164">
        <v>3.8</v>
      </c>
      <c r="AD16" s="333">
        <f t="shared" si="3"/>
        <v>84.02</v>
      </c>
      <c r="AE16" s="334"/>
      <c r="AF16" s="332">
        <f>'Preço Homem-Mês-m2'!AH16</f>
        <v>20.59</v>
      </c>
      <c r="AG16" s="164">
        <v>8.66</v>
      </c>
      <c r="AH16" s="333">
        <f t="shared" si="0"/>
        <v>178.31</v>
      </c>
      <c r="AI16" s="336"/>
      <c r="AJ16" s="337">
        <f>'Preço Homem-Mês-m2'!AL16</f>
        <v>20.170000000000002</v>
      </c>
      <c r="AK16" s="164">
        <v>12.88</v>
      </c>
      <c r="AL16" s="272">
        <f t="shared" si="4"/>
        <v>259.79000000000002</v>
      </c>
      <c r="AO16" s="338"/>
    </row>
    <row r="17" spans="1:41" ht="18" customHeight="1">
      <c r="A17" s="857"/>
      <c r="B17" s="170" t="s">
        <v>145</v>
      </c>
      <c r="C17" s="227"/>
      <c r="D17" s="332">
        <f>'Preço Homem-Mês-m2'!F17</f>
        <v>20.63</v>
      </c>
      <c r="E17" s="172">
        <v>303.98</v>
      </c>
      <c r="F17" s="333">
        <f t="shared" si="1"/>
        <v>6271.11</v>
      </c>
      <c r="G17" s="334"/>
      <c r="H17" s="332">
        <f>'Preço Homem-Mês-m2'!J17</f>
        <v>22.2</v>
      </c>
      <c r="I17" s="164">
        <v>9.56</v>
      </c>
      <c r="J17" s="333">
        <f t="shared" si="5"/>
        <v>212.23</v>
      </c>
      <c r="K17" s="335"/>
      <c r="L17" s="332">
        <f>'Preço Homem-Mês-m2'!N17</f>
        <v>22.11</v>
      </c>
      <c r="M17" s="164">
        <v>4.3899999999999997</v>
      </c>
      <c r="N17" s="333">
        <f t="shared" si="6"/>
        <v>97.06</v>
      </c>
      <c r="O17" s="334"/>
      <c r="P17" s="332">
        <f>'Preço Homem-Mês-m2'!R17</f>
        <v>22.22</v>
      </c>
      <c r="Q17" s="164">
        <v>11.5</v>
      </c>
      <c r="R17" s="333">
        <f t="shared" si="7"/>
        <v>255.53</v>
      </c>
      <c r="S17" s="334"/>
      <c r="T17" s="332">
        <f>'Preço Homem-Mês-m2'!V17</f>
        <v>21.99</v>
      </c>
      <c r="U17" s="164">
        <v>10</v>
      </c>
      <c r="V17" s="333">
        <f t="shared" si="8"/>
        <v>219.9</v>
      </c>
      <c r="W17" s="334"/>
      <c r="X17" s="332">
        <f>'Preço Homem-Mês-m2'!Z17</f>
        <v>21.36</v>
      </c>
      <c r="Y17" s="164">
        <v>20.74</v>
      </c>
      <c r="Z17" s="333">
        <f t="shared" si="2"/>
        <v>443.01</v>
      </c>
      <c r="AA17" s="334"/>
      <c r="AB17" s="332">
        <f>'Preço Homem-Mês-m2'!AD17</f>
        <v>22.11</v>
      </c>
      <c r="AC17" s="164">
        <v>4.32</v>
      </c>
      <c r="AD17" s="333">
        <f t="shared" si="3"/>
        <v>95.52</v>
      </c>
      <c r="AE17" s="334"/>
      <c r="AF17" s="332">
        <f>'Preço Homem-Mês-m2'!AH17</f>
        <v>53.26</v>
      </c>
      <c r="AG17" s="164">
        <v>145.83000000000001</v>
      </c>
      <c r="AH17" s="333">
        <f t="shared" si="0"/>
        <v>7766.91</v>
      </c>
      <c r="AI17" s="336"/>
      <c r="AJ17" s="337">
        <f>'Preço Homem-Mês-m2'!AL17</f>
        <v>338.99</v>
      </c>
      <c r="AK17" s="164">
        <v>22.54</v>
      </c>
      <c r="AL17" s="272">
        <f t="shared" si="4"/>
        <v>7640.83</v>
      </c>
      <c r="AO17" s="338"/>
    </row>
    <row r="18" spans="1:41" ht="31" customHeight="1">
      <c r="A18" s="857"/>
      <c r="B18" s="341" t="s">
        <v>93</v>
      </c>
      <c r="C18" s="227"/>
      <c r="D18" s="342"/>
      <c r="E18" s="343"/>
      <c r="F18" s="344">
        <f>ROUND(SUM(F11:F17),2)</f>
        <v>41723.99</v>
      </c>
      <c r="G18" s="334"/>
      <c r="H18" s="342"/>
      <c r="I18" s="343"/>
      <c r="J18" s="344">
        <f>ROUND(SUM(J11:J17),2)</f>
        <v>6384.59</v>
      </c>
      <c r="K18" s="335"/>
      <c r="L18" s="342"/>
      <c r="M18" s="343"/>
      <c r="N18" s="344">
        <f>ROUND(SUM(N11:N17),2)</f>
        <v>6317.92</v>
      </c>
      <c r="O18" s="334"/>
      <c r="P18" s="342"/>
      <c r="Q18" s="343"/>
      <c r="R18" s="344">
        <f>ROUND(SUM(R11:R17),2)</f>
        <v>6290.65</v>
      </c>
      <c r="S18" s="334"/>
      <c r="T18" s="342"/>
      <c r="U18" s="343"/>
      <c r="V18" s="344">
        <f>ROUND(SUM(V11:V17),2)</f>
        <v>6253.02</v>
      </c>
      <c r="W18" s="334"/>
      <c r="X18" s="342"/>
      <c r="Y18" s="343"/>
      <c r="Z18" s="344">
        <f>ROUND(SUM(Z11:Z17),2)</f>
        <v>4655.88</v>
      </c>
      <c r="AA18" s="334"/>
      <c r="AB18" s="342"/>
      <c r="AC18" s="343"/>
      <c r="AD18" s="344">
        <f>ROUND(SUM(AD11:AD17),2)</f>
        <v>6381.26</v>
      </c>
      <c r="AE18" s="334"/>
      <c r="AF18" s="342"/>
      <c r="AG18" s="343"/>
      <c r="AH18" s="344">
        <f>ROUND(SUM(AH11:AH17),2)</f>
        <v>17168.740000000002</v>
      </c>
      <c r="AI18" s="336"/>
      <c r="AJ18" s="345"/>
      <c r="AK18" s="343"/>
      <c r="AL18" s="346">
        <f>ROUND(SUM(AL11:AL17),2)</f>
        <v>11190.62</v>
      </c>
      <c r="AM18" s="69"/>
    </row>
    <row r="19" spans="1:41" ht="6" customHeight="1">
      <c r="A19" s="857"/>
      <c r="B19" s="347"/>
      <c r="C19" s="227"/>
      <c r="D19" s="102"/>
      <c r="E19" s="102"/>
      <c r="F19" s="348"/>
      <c r="G19" s="334"/>
      <c r="H19" s="102"/>
      <c r="I19" s="102"/>
      <c r="J19" s="348"/>
      <c r="K19" s="335"/>
      <c r="L19" s="102"/>
      <c r="M19" s="102"/>
      <c r="N19" s="348"/>
      <c r="O19" s="334"/>
      <c r="P19" s="102"/>
      <c r="Q19" s="102"/>
      <c r="R19" s="348"/>
      <c r="S19" s="334"/>
      <c r="T19" s="102"/>
      <c r="U19" s="102"/>
      <c r="V19" s="348"/>
      <c r="W19" s="334"/>
      <c r="X19" s="102"/>
      <c r="Y19" s="102"/>
      <c r="Z19" s="348"/>
      <c r="AA19" s="334"/>
      <c r="AB19" s="102"/>
      <c r="AC19" s="102"/>
      <c r="AD19" s="348"/>
      <c r="AE19" s="334"/>
      <c r="AF19" s="102"/>
      <c r="AG19" s="102"/>
      <c r="AH19" s="348"/>
      <c r="AI19" s="336"/>
      <c r="AJ19" s="349"/>
      <c r="AK19" s="102"/>
      <c r="AL19" s="350"/>
    </row>
    <row r="20" spans="1:41" ht="18.649999999999999" customHeight="1">
      <c r="A20" s="857"/>
      <c r="B20" s="321" t="s">
        <v>48</v>
      </c>
      <c r="C20" s="212"/>
      <c r="D20" s="155"/>
      <c r="E20" s="155"/>
      <c r="F20" s="155"/>
      <c r="G20" s="334"/>
      <c r="H20" s="155"/>
      <c r="I20" s="155"/>
      <c r="J20" s="155"/>
      <c r="K20" s="335"/>
      <c r="L20" s="155"/>
      <c r="M20" s="155"/>
      <c r="N20" s="155"/>
      <c r="O20" s="334"/>
      <c r="P20" s="155"/>
      <c r="Q20" s="155"/>
      <c r="R20" s="233"/>
      <c r="S20" s="334"/>
      <c r="T20" s="155"/>
      <c r="U20" s="155"/>
      <c r="V20" s="233"/>
      <c r="W20" s="334"/>
      <c r="X20" s="155"/>
      <c r="Y20" s="155"/>
      <c r="Z20" s="233"/>
      <c r="AA20" s="334"/>
      <c r="AB20" s="155"/>
      <c r="AC20" s="155"/>
      <c r="AD20" s="233"/>
      <c r="AE20" s="334"/>
      <c r="AF20" s="155"/>
      <c r="AG20" s="155"/>
      <c r="AH20" s="233"/>
      <c r="AI20" s="336"/>
      <c r="AJ20" s="153"/>
      <c r="AK20" s="155"/>
      <c r="AL20" s="173"/>
    </row>
    <row r="21" spans="1:41" s="69" customFormat="1" ht="34" customHeight="1">
      <c r="A21" s="857"/>
      <c r="B21" s="229" t="s">
        <v>49</v>
      </c>
      <c r="C21" s="215"/>
      <c r="D21" s="351">
        <f>'Preço Homem-Mês-m2'!F19</f>
        <v>2.35</v>
      </c>
      <c r="E21" s="176">
        <v>96.69</v>
      </c>
      <c r="F21" s="333">
        <f t="shared" ref="F21:F22" si="9">ROUND(E21*D21,2)</f>
        <v>227.22</v>
      </c>
      <c r="G21" s="334"/>
      <c r="H21" s="351">
        <f>'Preço Homem-Mês-m2'!J19</f>
        <v>2.4700000000000002</v>
      </c>
      <c r="I21" s="164">
        <v>72</v>
      </c>
      <c r="J21" s="333">
        <f t="shared" ref="J21" si="10">ROUND(I21*H21,2)</f>
        <v>177.84</v>
      </c>
      <c r="K21" s="335"/>
      <c r="L21" s="351"/>
      <c r="M21" s="160"/>
      <c r="N21" s="340"/>
      <c r="O21" s="334"/>
      <c r="P21" s="351">
        <f>'Preço Homem-Mês-m2'!R19</f>
        <v>2.4700000000000002</v>
      </c>
      <c r="Q21" s="164">
        <v>76.12</v>
      </c>
      <c r="R21" s="333">
        <f t="shared" ref="R21" si="11">ROUND(Q21*P21,2)</f>
        <v>188.02</v>
      </c>
      <c r="S21" s="334"/>
      <c r="T21" s="351">
        <f>'Preço Homem-Mês-m2'!V19</f>
        <v>2.44</v>
      </c>
      <c r="U21" s="164">
        <v>100</v>
      </c>
      <c r="V21" s="333">
        <f t="shared" ref="V21:V22" si="12">ROUND(U21*T21,2)</f>
        <v>244</v>
      </c>
      <c r="W21" s="334"/>
      <c r="X21" s="351">
        <f>'Preço Homem-Mês-m2'!Z19</f>
        <v>2.37</v>
      </c>
      <c r="Y21" s="164">
        <v>404.03</v>
      </c>
      <c r="Z21" s="333">
        <f t="shared" ref="Z21:Z23" si="13">ROUND(Y21*X21,2)</f>
        <v>957.55</v>
      </c>
      <c r="AA21" s="334"/>
      <c r="AB21" s="351">
        <f>'Preço Homem-Mês-m2'!AD19</f>
        <v>2.46</v>
      </c>
      <c r="AC21" s="164">
        <v>28.1</v>
      </c>
      <c r="AD21" s="333">
        <f t="shared" ref="AD21:AD22" si="14">ROUND(AC21*AB21,2)</f>
        <v>69.13</v>
      </c>
      <c r="AE21" s="334"/>
      <c r="AF21" s="351">
        <f>'Preço Homem-Mês-m2'!AH19</f>
        <v>2.29</v>
      </c>
      <c r="AG21" s="164">
        <v>263.72000000000003</v>
      </c>
      <c r="AH21" s="333">
        <f t="shared" ref="AH21:AH23" si="15">ROUND(AG21*AF21,2)</f>
        <v>603.91999999999996</v>
      </c>
      <c r="AI21" s="336"/>
      <c r="AJ21" s="351">
        <f>'Preço Homem-Mês-m2'!AL19</f>
        <v>2.2400000000000002</v>
      </c>
      <c r="AK21" s="164">
        <v>184.38</v>
      </c>
      <c r="AL21" s="272">
        <f t="shared" ref="AL21:AL23" si="16">ROUND(AK21*AJ21,2)</f>
        <v>413.01</v>
      </c>
      <c r="AO21" s="338"/>
    </row>
    <row r="22" spans="1:41" ht="18.5" customHeight="1">
      <c r="A22" s="857"/>
      <c r="B22" s="169" t="s">
        <v>50</v>
      </c>
      <c r="C22" s="232"/>
      <c r="D22" s="332"/>
      <c r="E22" s="158">
        <v>513.70000000000005</v>
      </c>
      <c r="F22" s="333">
        <f t="shared" si="9"/>
        <v>0</v>
      </c>
      <c r="G22" s="334"/>
      <c r="H22" s="332"/>
      <c r="I22" s="168"/>
      <c r="J22" s="340"/>
      <c r="K22" s="335"/>
      <c r="L22" s="332">
        <f>'Preço Homem-Mês-m2'!N20</f>
        <v>0.74</v>
      </c>
      <c r="M22" s="168">
        <v>48</v>
      </c>
      <c r="N22" s="333">
        <f t="shared" ref="N22" si="17">ROUND(M22*L22,2)</f>
        <v>35.520000000000003</v>
      </c>
      <c r="O22" s="334"/>
      <c r="P22" s="332"/>
      <c r="Q22" s="168"/>
      <c r="R22" s="340"/>
      <c r="S22" s="334"/>
      <c r="T22" s="351">
        <f>'Preço Homem-Mês-m2'!V20</f>
        <v>0.73</v>
      </c>
      <c r="U22" s="164">
        <v>25</v>
      </c>
      <c r="V22" s="333">
        <f t="shared" si="12"/>
        <v>18.25</v>
      </c>
      <c r="W22" s="334"/>
      <c r="X22" s="351">
        <f>'Preço Homem-Mês-m2'!Z20</f>
        <v>0.71</v>
      </c>
      <c r="Y22" s="164">
        <v>271.63</v>
      </c>
      <c r="Z22" s="333">
        <f t="shared" si="13"/>
        <v>192.86</v>
      </c>
      <c r="AA22" s="334"/>
      <c r="AB22" s="351">
        <f>'Preço Homem-Mês-m2'!AD20</f>
        <v>0.74</v>
      </c>
      <c r="AC22" s="164">
        <v>29.25</v>
      </c>
      <c r="AD22" s="333">
        <f t="shared" si="14"/>
        <v>21.65</v>
      </c>
      <c r="AE22" s="334"/>
      <c r="AF22" s="351">
        <f>'Preço Homem-Mês-m2'!AH20</f>
        <v>0.69</v>
      </c>
      <c r="AG22" s="164">
        <v>574.36</v>
      </c>
      <c r="AH22" s="333">
        <f t="shared" si="15"/>
        <v>396.31</v>
      </c>
      <c r="AI22" s="336"/>
      <c r="AJ22" s="351">
        <f>'Preço Homem-Mês-m2'!AL20</f>
        <v>0.52</v>
      </c>
      <c r="AK22" s="164">
        <v>1165</v>
      </c>
      <c r="AL22" s="272">
        <f t="shared" si="16"/>
        <v>605.79999999999995</v>
      </c>
      <c r="AO22" s="338"/>
    </row>
    <row r="23" spans="1:41" ht="18.5" customHeight="1">
      <c r="A23" s="857"/>
      <c r="B23" s="169" t="s">
        <v>146</v>
      </c>
      <c r="C23" s="232"/>
      <c r="D23" s="351">
        <f>'Preço Homem-Mês-m2'!F21</f>
        <v>2.35</v>
      </c>
      <c r="E23" s="167"/>
      <c r="F23" s="340"/>
      <c r="G23" s="334"/>
      <c r="H23" s="332"/>
      <c r="I23" s="168"/>
      <c r="J23" s="340"/>
      <c r="K23" s="335"/>
      <c r="L23" s="332"/>
      <c r="M23" s="168"/>
      <c r="N23" s="340"/>
      <c r="O23" s="334"/>
      <c r="P23" s="332"/>
      <c r="Q23" s="168"/>
      <c r="R23" s="340"/>
      <c r="S23" s="334"/>
      <c r="T23" s="332"/>
      <c r="U23" s="168"/>
      <c r="V23" s="340"/>
      <c r="W23" s="334"/>
      <c r="X23" s="351">
        <f>'Preço Homem-Mês-m2'!Z21</f>
        <v>2.37</v>
      </c>
      <c r="Y23" s="164">
        <v>215.69</v>
      </c>
      <c r="Z23" s="333">
        <f t="shared" si="13"/>
        <v>511.19</v>
      </c>
      <c r="AA23" s="334"/>
      <c r="AB23" s="332"/>
      <c r="AC23" s="168"/>
      <c r="AD23" s="340"/>
      <c r="AE23" s="334"/>
      <c r="AF23" s="351">
        <f>'Preço Homem-Mês-m2'!AH21</f>
        <v>2.29</v>
      </c>
      <c r="AG23" s="164">
        <v>434.72</v>
      </c>
      <c r="AH23" s="333">
        <f t="shared" si="15"/>
        <v>995.51</v>
      </c>
      <c r="AI23" s="336"/>
      <c r="AJ23" s="351">
        <f>'Preço Homem-Mês-m2'!AL21</f>
        <v>0.62</v>
      </c>
      <c r="AK23" s="164">
        <v>1797</v>
      </c>
      <c r="AL23" s="272">
        <f t="shared" si="16"/>
        <v>1114.1400000000001</v>
      </c>
      <c r="AO23" s="338"/>
    </row>
    <row r="24" spans="1:41" ht="18.5" customHeight="1">
      <c r="A24" s="857"/>
      <c r="B24" s="169" t="s">
        <v>134</v>
      </c>
      <c r="C24" s="232"/>
      <c r="D24" s="351">
        <f>'Preço Homem-Mês-m2'!F22</f>
        <v>2.35</v>
      </c>
      <c r="E24" s="172">
        <v>1027.21</v>
      </c>
      <c r="F24" s="333">
        <f t="shared" ref="F24" si="18">ROUND(E24*D24,2)</f>
        <v>2413.94</v>
      </c>
      <c r="G24" s="334"/>
      <c r="H24" s="332"/>
      <c r="I24" s="167"/>
      <c r="J24" s="340"/>
      <c r="K24" s="335"/>
      <c r="L24" s="332"/>
      <c r="M24" s="167"/>
      <c r="N24" s="340"/>
      <c r="O24" s="334"/>
      <c r="P24" s="332"/>
      <c r="Q24" s="167"/>
      <c r="R24" s="340"/>
      <c r="S24" s="334"/>
      <c r="T24" s="332"/>
      <c r="U24" s="167"/>
      <c r="V24" s="340"/>
      <c r="W24" s="334"/>
      <c r="X24" s="332"/>
      <c r="Y24" s="167"/>
      <c r="Z24" s="340"/>
      <c r="AA24" s="334"/>
      <c r="AB24" s="332"/>
      <c r="AC24" s="167"/>
      <c r="AD24" s="340"/>
      <c r="AE24" s="334"/>
      <c r="AF24" s="332"/>
      <c r="AG24" s="167"/>
      <c r="AH24" s="340"/>
      <c r="AI24" s="336"/>
      <c r="AJ24" s="337"/>
      <c r="AK24" s="167"/>
      <c r="AL24" s="326"/>
      <c r="AO24" s="347"/>
    </row>
    <row r="25" spans="1:41" ht="27" customHeight="1">
      <c r="A25" s="857"/>
      <c r="B25" s="341" t="s">
        <v>95</v>
      </c>
      <c r="C25" s="232"/>
      <c r="D25" s="342"/>
      <c r="E25" s="343"/>
      <c r="F25" s="344">
        <f>ROUND(SUM(F21:F24),2)</f>
        <v>2641.16</v>
      </c>
      <c r="G25" s="334"/>
      <c r="H25" s="342"/>
      <c r="I25" s="343"/>
      <c r="J25" s="344">
        <f>ROUND(SUM(J21:J24),2)</f>
        <v>177.84</v>
      </c>
      <c r="K25" s="335"/>
      <c r="L25" s="342"/>
      <c r="M25" s="343"/>
      <c r="N25" s="344">
        <f>ROUND(SUM(N21:N24),2)</f>
        <v>35.520000000000003</v>
      </c>
      <c r="O25" s="334"/>
      <c r="P25" s="342"/>
      <c r="Q25" s="343"/>
      <c r="R25" s="344">
        <f>ROUND(SUM(R21:R24),2)</f>
        <v>188.02</v>
      </c>
      <c r="S25" s="334"/>
      <c r="T25" s="342"/>
      <c r="U25" s="343"/>
      <c r="V25" s="344">
        <f>ROUND(SUM(V21:V24),2)</f>
        <v>262.25</v>
      </c>
      <c r="W25" s="334"/>
      <c r="X25" s="342"/>
      <c r="Y25" s="343"/>
      <c r="Z25" s="344">
        <f>ROUND(SUM(Z21:Z24),2)</f>
        <v>1661.6</v>
      </c>
      <c r="AA25" s="334"/>
      <c r="AB25" s="342"/>
      <c r="AC25" s="343"/>
      <c r="AD25" s="344">
        <f>ROUND(SUM(AD21:AD24),2)</f>
        <v>90.78</v>
      </c>
      <c r="AE25" s="334"/>
      <c r="AF25" s="342"/>
      <c r="AG25" s="343"/>
      <c r="AH25" s="344">
        <f>ROUND(SUM(AH21:AH24),2)</f>
        <v>1995.74</v>
      </c>
      <c r="AI25" s="336"/>
      <c r="AJ25" s="345"/>
      <c r="AK25" s="343"/>
      <c r="AL25" s="346">
        <f>ROUND(SUM(AL21:AL24),2)</f>
        <v>2132.9499999999998</v>
      </c>
    </row>
    <row r="26" spans="1:41" ht="7" customHeight="1">
      <c r="A26" s="857"/>
      <c r="B26" s="352"/>
      <c r="C26" s="232"/>
      <c r="D26" s="219"/>
      <c r="E26" s="353"/>
      <c r="F26" s="348"/>
      <c r="G26" s="334"/>
      <c r="H26" s="219"/>
      <c r="I26" s="354"/>
      <c r="J26" s="348"/>
      <c r="K26" s="335"/>
      <c r="L26" s="219"/>
      <c r="M26" s="354"/>
      <c r="N26" s="348"/>
      <c r="O26" s="334"/>
      <c r="P26" s="219"/>
      <c r="Q26" s="354"/>
      <c r="R26" s="348"/>
      <c r="S26" s="334"/>
      <c r="T26" s="219"/>
      <c r="U26" s="354"/>
      <c r="V26" s="348"/>
      <c r="W26" s="334"/>
      <c r="X26" s="219"/>
      <c r="Y26" s="354"/>
      <c r="Z26" s="348"/>
      <c r="AA26" s="334"/>
      <c r="AB26" s="219"/>
      <c r="AC26" s="354"/>
      <c r="AD26" s="348"/>
      <c r="AE26" s="334"/>
      <c r="AF26" s="219"/>
      <c r="AG26" s="354"/>
      <c r="AH26" s="348"/>
      <c r="AI26" s="336"/>
      <c r="AJ26" s="216"/>
      <c r="AK26" s="354"/>
      <c r="AL26" s="350"/>
    </row>
    <row r="27" spans="1:41" ht="29.25" customHeight="1">
      <c r="A27" s="857"/>
      <c r="B27" s="213" t="s">
        <v>338</v>
      </c>
      <c r="C27" s="212"/>
      <c r="D27" s="155"/>
      <c r="E27" s="155"/>
      <c r="F27" s="155"/>
      <c r="G27" s="334"/>
      <c r="H27" s="155"/>
      <c r="I27" s="155"/>
      <c r="J27" s="155"/>
      <c r="K27" s="335"/>
      <c r="L27" s="155"/>
      <c r="M27" s="155"/>
      <c r="N27" s="155"/>
      <c r="O27" s="334"/>
      <c r="P27" s="155"/>
      <c r="Q27" s="155"/>
      <c r="R27" s="233"/>
      <c r="S27" s="334"/>
      <c r="T27" s="155"/>
      <c r="U27" s="155"/>
      <c r="V27" s="233"/>
      <c r="W27" s="334"/>
      <c r="X27" s="155"/>
      <c r="Y27" s="155"/>
      <c r="Z27" s="233"/>
      <c r="AA27" s="334"/>
      <c r="AB27" s="155"/>
      <c r="AC27" s="155"/>
      <c r="AD27" s="233"/>
      <c r="AE27" s="334"/>
      <c r="AF27" s="155"/>
      <c r="AG27" s="155"/>
      <c r="AH27" s="233"/>
      <c r="AI27" s="336"/>
      <c r="AJ27" s="153"/>
      <c r="AK27" s="155"/>
      <c r="AL27" s="173"/>
    </row>
    <row r="28" spans="1:41" ht="29.5" customHeight="1">
      <c r="A28" s="857"/>
      <c r="B28" s="180" t="s">
        <v>340</v>
      </c>
      <c r="C28" s="232"/>
      <c r="D28" s="332">
        <f>'Preço Homem-Mês-m2'!F24</f>
        <v>1.41</v>
      </c>
      <c r="E28" s="182">
        <v>561.96</v>
      </c>
      <c r="F28" s="333">
        <f t="shared" ref="F28:F29" si="19">ROUND(E28*D28,2)</f>
        <v>792.36</v>
      </c>
      <c r="G28" s="334"/>
      <c r="H28" s="332">
        <f>'Preço Homem-Mês-m2'!J24</f>
        <v>1.49</v>
      </c>
      <c r="I28" s="164">
        <v>32.92</v>
      </c>
      <c r="J28" s="333">
        <f t="shared" ref="J28:J29" si="20">ROUND(I28*H28,2)</f>
        <v>49.05</v>
      </c>
      <c r="K28" s="335"/>
      <c r="L28" s="332">
        <f>'Preço Homem-Mês-m2'!N24</f>
        <v>1.48</v>
      </c>
      <c r="M28" s="164">
        <v>47</v>
      </c>
      <c r="N28" s="333">
        <f t="shared" ref="N28:N29" si="21">ROUND(M28*L28,2)</f>
        <v>69.56</v>
      </c>
      <c r="O28" s="334"/>
      <c r="P28" s="332">
        <f>'Preço Homem-Mês-m2'!R24</f>
        <v>1.49</v>
      </c>
      <c r="Q28" s="164">
        <v>63</v>
      </c>
      <c r="R28" s="333">
        <f t="shared" ref="R28:R29" si="22">ROUND(Q28*P28,2)</f>
        <v>93.87</v>
      </c>
      <c r="S28" s="334"/>
      <c r="T28" s="332"/>
      <c r="U28" s="168"/>
      <c r="V28" s="333"/>
      <c r="W28" s="334"/>
      <c r="X28" s="332">
        <f>'Preço Homem-Mês-m2'!Z24</f>
        <v>1.43</v>
      </c>
      <c r="Y28" s="164">
        <v>23.04</v>
      </c>
      <c r="Z28" s="333">
        <f t="shared" ref="Z28:Z29" si="23">ROUND(Y28*X28,2)</f>
        <v>32.950000000000003</v>
      </c>
      <c r="AA28" s="334"/>
      <c r="AB28" s="332">
        <f>'Preço Homem-Mês-m2'!AD24</f>
        <v>1.48</v>
      </c>
      <c r="AC28" s="164">
        <v>10.64</v>
      </c>
      <c r="AD28" s="333">
        <f t="shared" ref="AD28:AD29" si="24">ROUND(AC28*AB28,2)</f>
        <v>15.75</v>
      </c>
      <c r="AE28" s="334"/>
      <c r="AF28" s="332">
        <f>'Preço Homem-Mês-m2'!AH24</f>
        <v>1.38</v>
      </c>
      <c r="AG28" s="164">
        <v>178.68</v>
      </c>
      <c r="AH28" s="333">
        <f t="shared" ref="AH28:AH29" si="25">ROUND(AG28*AF28,2)</f>
        <v>246.58</v>
      </c>
      <c r="AI28" s="336"/>
      <c r="AJ28" s="337">
        <f>'Preço Homem-Mês-m2'!AL24</f>
        <v>1.35</v>
      </c>
      <c r="AK28" s="164">
        <v>135.12</v>
      </c>
      <c r="AL28" s="272">
        <f t="shared" ref="AL28:AL29" si="26">ROUND(AK28*AJ28,2)</f>
        <v>182.41</v>
      </c>
    </row>
    <row r="29" spans="1:41" ht="29.5" customHeight="1">
      <c r="A29" s="857"/>
      <c r="B29" s="169" t="s">
        <v>339</v>
      </c>
      <c r="C29" s="232"/>
      <c r="D29" s="332">
        <f>'Preço Homem-Mês-m2'!F25</f>
        <v>1.41</v>
      </c>
      <c r="E29" s="182">
        <v>561.96</v>
      </c>
      <c r="F29" s="333">
        <f t="shared" si="19"/>
        <v>792.36</v>
      </c>
      <c r="G29" s="334"/>
      <c r="H29" s="332">
        <f>'Preço Homem-Mês-m2'!J25</f>
        <v>1.49</v>
      </c>
      <c r="I29" s="164">
        <v>32.92</v>
      </c>
      <c r="J29" s="333">
        <f t="shared" si="20"/>
        <v>49.05</v>
      </c>
      <c r="K29" s="335"/>
      <c r="L29" s="332">
        <f>'Preço Homem-Mês-m2'!N25</f>
        <v>1.48</v>
      </c>
      <c r="M29" s="164">
        <v>142</v>
      </c>
      <c r="N29" s="333">
        <f t="shared" si="21"/>
        <v>210.16</v>
      </c>
      <c r="O29" s="334"/>
      <c r="P29" s="332">
        <f>'Preço Homem-Mês-m2'!R25</f>
        <v>1.49</v>
      </c>
      <c r="Q29" s="164">
        <v>63</v>
      </c>
      <c r="R29" s="333">
        <f t="shared" si="22"/>
        <v>93.87</v>
      </c>
      <c r="S29" s="334"/>
      <c r="T29" s="355">
        <f>'Preço Homem-Mês-m2'!V25</f>
        <v>1.47</v>
      </c>
      <c r="U29" s="164">
        <v>55</v>
      </c>
      <c r="V29" s="333">
        <f t="shared" ref="V29" si="27">ROUND(U29*T29,2)</f>
        <v>80.849999999999994</v>
      </c>
      <c r="W29" s="334"/>
      <c r="X29" s="332">
        <f>'Preço Homem-Mês-m2'!Z25</f>
        <v>1.43</v>
      </c>
      <c r="Y29" s="164">
        <v>41.43</v>
      </c>
      <c r="Z29" s="333">
        <f t="shared" si="23"/>
        <v>59.24</v>
      </c>
      <c r="AA29" s="334"/>
      <c r="AB29" s="332">
        <f>'Preço Homem-Mês-m2'!AD25</f>
        <v>1.48</v>
      </c>
      <c r="AC29" s="164">
        <v>99.99</v>
      </c>
      <c r="AD29" s="333">
        <f t="shared" si="24"/>
        <v>147.99</v>
      </c>
      <c r="AE29" s="334"/>
      <c r="AF29" s="332">
        <f>'Preço Homem-Mês-m2'!AH25</f>
        <v>1.38</v>
      </c>
      <c r="AG29" s="164">
        <v>533.41999999999996</v>
      </c>
      <c r="AH29" s="333">
        <f t="shared" si="25"/>
        <v>736.12</v>
      </c>
      <c r="AI29" s="336"/>
      <c r="AJ29" s="337">
        <f>'Preço Homem-Mês-m2'!AL25</f>
        <v>1.35</v>
      </c>
      <c r="AK29" s="164">
        <v>135.12</v>
      </c>
      <c r="AL29" s="272">
        <f t="shared" si="26"/>
        <v>182.41</v>
      </c>
    </row>
    <row r="30" spans="1:41" ht="30.5" customHeight="1" thickBot="1">
      <c r="A30" s="858"/>
      <c r="B30" s="341" t="s">
        <v>94</v>
      </c>
      <c r="C30" s="356"/>
      <c r="D30" s="357"/>
      <c r="E30" s="358"/>
      <c r="F30" s="359">
        <f>ROUND(SUM(F28:F29),2)</f>
        <v>1584.72</v>
      </c>
      <c r="G30" s="360"/>
      <c r="H30" s="357"/>
      <c r="I30" s="358"/>
      <c r="J30" s="359">
        <f>ROUND(SUM(J28:J29),2)</f>
        <v>98.1</v>
      </c>
      <c r="K30" s="263"/>
      <c r="L30" s="357"/>
      <c r="M30" s="358"/>
      <c r="N30" s="359">
        <f>ROUND(SUM(N28:N29),2)</f>
        <v>279.72000000000003</v>
      </c>
      <c r="O30" s="360"/>
      <c r="P30" s="357"/>
      <c r="Q30" s="358"/>
      <c r="R30" s="359">
        <f>ROUND(SUM(R28:R29),2)</f>
        <v>187.74</v>
      </c>
      <c r="S30" s="360"/>
      <c r="T30" s="357"/>
      <c r="U30" s="358"/>
      <c r="V30" s="359">
        <f>ROUND(SUM(V28:V29),2)</f>
        <v>80.849999999999994</v>
      </c>
      <c r="W30" s="360"/>
      <c r="X30" s="357"/>
      <c r="Y30" s="358"/>
      <c r="Z30" s="359">
        <f>ROUND(SUM(Z28:Z29),2)</f>
        <v>92.19</v>
      </c>
      <c r="AA30" s="360"/>
      <c r="AB30" s="357"/>
      <c r="AC30" s="358"/>
      <c r="AD30" s="359">
        <f>ROUND(SUM(AD28:AD29),2)</f>
        <v>163.74</v>
      </c>
      <c r="AE30" s="360"/>
      <c r="AF30" s="357"/>
      <c r="AG30" s="358"/>
      <c r="AH30" s="359">
        <f>ROUND(SUM(AH28:AH29),2)</f>
        <v>982.7</v>
      </c>
      <c r="AI30" s="360"/>
      <c r="AJ30" s="361"/>
      <c r="AK30" s="358"/>
      <c r="AL30" s="359">
        <f>ROUND(SUM(AL28:AL29),2)</f>
        <v>364.82</v>
      </c>
    </row>
    <row r="31" spans="1:41" ht="14.5">
      <c r="D31" s="64"/>
      <c r="E31" s="64"/>
      <c r="F31" s="64"/>
      <c r="G31" s="64"/>
      <c r="H31" s="64"/>
      <c r="I31" s="64"/>
      <c r="J31" s="64"/>
      <c r="K31" s="105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</row>
  </sheetData>
  <mergeCells count="16">
    <mergeCell ref="A8:A30"/>
    <mergeCell ref="T8:V8"/>
    <mergeCell ref="X8:Z8"/>
    <mergeCell ref="AB8:AD8"/>
    <mergeCell ref="AF8:AH8"/>
    <mergeCell ref="B8:B9"/>
    <mergeCell ref="AJ8:AL8"/>
    <mergeCell ref="D8:F8"/>
    <mergeCell ref="H8:J8"/>
    <mergeCell ref="L8:N8"/>
    <mergeCell ref="P8:R8"/>
    <mergeCell ref="A1:AL1"/>
    <mergeCell ref="A2:AL2"/>
    <mergeCell ref="A4:H4"/>
    <mergeCell ref="A6:AL6"/>
    <mergeCell ref="I4:AL4"/>
  </mergeCells>
  <pageMargins left="0.70866141732283472" right="0.51181102362204722" top="0.78740157480314965" bottom="0.78740157480314965" header="0.31496062992125984" footer="0.31496062992125984"/>
  <pageSetup paperSize="9" scale="26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842"/>
  <sheetViews>
    <sheetView showGridLines="0" zoomScale="70" zoomScaleNormal="70" workbookViewId="0">
      <selection activeCell="L14" sqref="L1:M1048576"/>
    </sheetView>
  </sheetViews>
  <sheetFormatPr defaultColWidth="8.7265625" defaultRowHeight="14.5"/>
  <cols>
    <col min="1" max="1" width="5.7265625" style="66" customWidth="1"/>
    <col min="2" max="2" width="8.54296875" style="411" customWidth="1"/>
    <col min="3" max="3" width="28.81640625" style="66" customWidth="1"/>
    <col min="4" max="4" width="23.54296875" style="66" customWidth="1"/>
    <col min="5" max="6" width="20.6328125" style="66" customWidth="1"/>
    <col min="7" max="7" width="22.453125" style="66" customWidth="1"/>
    <col min="8" max="8" width="23.54296875" style="66" customWidth="1"/>
    <col min="9" max="9" width="22.7265625" style="66" customWidth="1"/>
    <col min="10" max="10" width="24.453125" style="66" customWidth="1"/>
    <col min="11" max="11" width="4.6328125" style="66" customWidth="1"/>
    <col min="12" max="12" width="17" style="66" hidden="1" customWidth="1"/>
    <col min="13" max="13" width="14.81640625" style="66" hidden="1" customWidth="1"/>
    <col min="14" max="15" width="9.54296875" style="66" customWidth="1"/>
    <col min="16" max="16" width="16" style="66" customWidth="1"/>
    <col min="17" max="1018" width="9.54296875" style="66" customWidth="1"/>
    <col min="1019" max="16384" width="8.7265625" style="66"/>
  </cols>
  <sheetData>
    <row r="1" spans="1:17" ht="28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</row>
    <row r="2" spans="1:17" ht="29" customHeight="1">
      <c r="A2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  <c r="J2" s="481"/>
    </row>
    <row r="3" spans="1:17" s="64" customFormat="1" ht="6" customHeight="1">
      <c r="A3" s="362"/>
      <c r="B3" s="363"/>
      <c r="C3" s="363"/>
      <c r="D3" s="363"/>
      <c r="E3" s="364"/>
      <c r="F3" s="364"/>
      <c r="G3" s="364"/>
      <c r="H3" s="364"/>
      <c r="I3" s="364"/>
    </row>
    <row r="4" spans="1:17" s="64" customFormat="1" ht="19.5" customHeight="1">
      <c r="A4" s="600" t="s">
        <v>1</v>
      </c>
      <c r="B4" s="600"/>
      <c r="C4" s="600"/>
      <c r="D4" s="600"/>
      <c r="E4" s="662" t="str">
        <f>CCT!J4</f>
        <v>10707.720194-2025-26</v>
      </c>
      <c r="F4" s="662"/>
      <c r="G4" s="662"/>
      <c r="H4" s="662"/>
      <c r="I4" s="662"/>
      <c r="J4" s="662"/>
    </row>
    <row r="5" spans="1:17" s="64" customFormat="1" ht="9" customHeight="1">
      <c r="A5" s="885"/>
      <c r="B5" s="886"/>
      <c r="C5" s="886"/>
      <c r="D5" s="886"/>
      <c r="E5" s="886"/>
      <c r="F5" s="886"/>
      <c r="G5" s="886"/>
      <c r="H5" s="886"/>
      <c r="I5" s="886"/>
      <c r="J5" s="886"/>
    </row>
    <row r="6" spans="1:17" s="64" customFormat="1" ht="19.5" customHeight="1">
      <c r="A6" s="477" t="s">
        <v>2</v>
      </c>
      <c r="B6" s="477"/>
      <c r="C6" s="477"/>
      <c r="D6" s="477"/>
      <c r="E6" s="477"/>
      <c r="F6" s="477"/>
      <c r="G6" s="477"/>
      <c r="H6" s="477"/>
      <c r="I6" s="477"/>
      <c r="J6" s="477"/>
    </row>
    <row r="7" spans="1:17" ht="23.5" customHeight="1">
      <c r="A7" s="887" t="s">
        <v>318</v>
      </c>
      <c r="B7" s="891" t="s">
        <v>313</v>
      </c>
      <c r="C7" s="891"/>
      <c r="D7" s="891"/>
      <c r="E7" s="891"/>
      <c r="F7" s="891"/>
      <c r="G7" s="891"/>
      <c r="H7" s="891"/>
      <c r="I7" s="891"/>
      <c r="J7" s="892"/>
    </row>
    <row r="8" spans="1:17" ht="31.5" customHeight="1">
      <c r="A8" s="888"/>
      <c r="B8" s="893" t="str">
        <f>A2</f>
        <v>Contratação de serviços de limpeza asseio e conservação, com fornecimento de material, utensílios e equipamentos, para as unidades jurisdicionadas à Delegacia da Receita Federal do Brasil em Niterói (DRF-NIT)</v>
      </c>
      <c r="C8" s="893"/>
      <c r="D8" s="893"/>
      <c r="E8" s="893"/>
      <c r="F8" s="893"/>
      <c r="G8" s="893"/>
      <c r="H8" s="893"/>
      <c r="I8" s="893"/>
      <c r="J8" s="893"/>
    </row>
    <row r="9" spans="1:17" ht="6.65" customHeight="1">
      <c r="A9" s="888"/>
      <c r="B9" s="365"/>
      <c r="C9" s="366"/>
      <c r="D9" s="366"/>
      <c r="E9" s="366"/>
      <c r="F9" s="366"/>
      <c r="G9" s="366"/>
      <c r="H9" s="366"/>
      <c r="I9" s="366"/>
      <c r="J9" s="366"/>
    </row>
    <row r="10" spans="1:17" ht="20.149999999999999" customHeight="1" thickBot="1">
      <c r="A10" s="888"/>
      <c r="B10" s="894" t="s">
        <v>314</v>
      </c>
      <c r="C10" s="894"/>
      <c r="D10" s="894"/>
      <c r="E10" s="894"/>
      <c r="F10" s="894"/>
      <c r="G10" s="894"/>
      <c r="H10" s="894"/>
      <c r="I10" s="894"/>
      <c r="J10" s="894"/>
    </row>
    <row r="11" spans="1:17" ht="8.5" customHeight="1">
      <c r="A11" s="888"/>
      <c r="B11" s="66"/>
    </row>
    <row r="12" spans="1:17" ht="17.5" customHeight="1">
      <c r="A12" s="888"/>
      <c r="B12" s="879" t="s">
        <v>359</v>
      </c>
      <c r="C12" s="879"/>
      <c r="D12" s="879"/>
      <c r="E12" s="879"/>
      <c r="F12" s="879"/>
      <c r="G12" s="880"/>
      <c r="H12" s="863">
        <f>'Benefícios e Outros Dados'!I9</f>
        <v>60</v>
      </c>
      <c r="I12" s="864"/>
      <c r="J12" s="864"/>
      <c r="K12" s="367"/>
      <c r="L12" s="367"/>
      <c r="M12" s="367"/>
      <c r="N12" s="367"/>
      <c r="O12" s="69"/>
      <c r="P12" s="69"/>
      <c r="Q12" s="69"/>
    </row>
    <row r="13" spans="1:17" ht="8.5" customHeight="1" thickBot="1">
      <c r="A13" s="888"/>
      <c r="B13" s="66"/>
    </row>
    <row r="14" spans="1:17" ht="28" customHeight="1">
      <c r="A14" s="888"/>
      <c r="B14" s="895" t="s">
        <v>319</v>
      </c>
      <c r="C14" s="876" t="s">
        <v>65</v>
      </c>
      <c r="D14" s="875" t="s">
        <v>315</v>
      </c>
      <c r="E14" s="889" t="s">
        <v>316</v>
      </c>
      <c r="F14" s="875" t="s">
        <v>343</v>
      </c>
      <c r="G14" s="876"/>
      <c r="H14" s="883" t="s">
        <v>344</v>
      </c>
      <c r="I14" s="865" t="s">
        <v>345</v>
      </c>
      <c r="J14" s="866"/>
    </row>
    <row r="15" spans="1:17" ht="28" customHeight="1" thickBot="1">
      <c r="A15" s="888"/>
      <c r="B15" s="896"/>
      <c r="C15" s="878"/>
      <c r="D15" s="877"/>
      <c r="E15" s="890"/>
      <c r="F15" s="877"/>
      <c r="G15" s="878"/>
      <c r="H15" s="884"/>
      <c r="I15" s="867"/>
      <c r="J15" s="868"/>
    </row>
    <row r="16" spans="1:17" ht="18" customHeight="1">
      <c r="A16" s="888"/>
      <c r="B16" s="899" t="s">
        <v>136</v>
      </c>
      <c r="C16" s="368" t="s">
        <v>136</v>
      </c>
      <c r="D16" s="369">
        <f>ROUND('Preço Mensal por Área'!F18+'Preço Mensal por Área'!F25+'Preço Mensal por Área'!F30,2)</f>
        <v>45949.87</v>
      </c>
      <c r="E16" s="909">
        <f>ROUND(SUM(D16:D25),2)</f>
        <v>119988.89</v>
      </c>
      <c r="F16" s="911">
        <f t="shared" ref="F16:F25" si="0">ROUND(D16*$H$12,2)</f>
        <v>2756992.2</v>
      </c>
      <c r="G16" s="912"/>
      <c r="H16" s="909">
        <f>ROUND(SUM(F16:F25),2)</f>
        <v>7199333.4000000004</v>
      </c>
      <c r="I16" s="869">
        <f>ROUND(SUM(H16:H25),2)</f>
        <v>7199333.4000000004</v>
      </c>
      <c r="J16" s="870"/>
      <c r="L16" s="732">
        <f>(6*'Servente SEM Adicional'!G142)+'Servente COM Adicional'!H144</f>
        <v>46552.47</v>
      </c>
      <c r="M16" s="905">
        <f>D16+D17-L16</f>
        <v>-0.82</v>
      </c>
    </row>
    <row r="17" spans="1:16" s="69" customFormat="1" ht="29" customHeight="1">
      <c r="A17" s="888"/>
      <c r="B17" s="900"/>
      <c r="C17" s="370" t="s">
        <v>317</v>
      </c>
      <c r="D17" s="371">
        <f>ROUND('Servente COM Adicional'!H144-'Servente COM Adicional'!G144,2)</f>
        <v>601.78</v>
      </c>
      <c r="E17" s="909"/>
      <c r="F17" s="881">
        <f t="shared" si="0"/>
        <v>36106.800000000003</v>
      </c>
      <c r="G17" s="882"/>
      <c r="H17" s="909"/>
      <c r="I17" s="871"/>
      <c r="J17" s="872"/>
      <c r="L17" s="732"/>
      <c r="M17" s="906"/>
    </row>
    <row r="18" spans="1:16" ht="18" customHeight="1">
      <c r="A18" s="888"/>
      <c r="B18" s="900"/>
      <c r="C18" s="372" t="s">
        <v>155</v>
      </c>
      <c r="D18" s="373">
        <f>ROUND('Preço Mensal por Área'!J18+'Preço Mensal por Área'!J25+'Preço Mensal por Área'!J30,2)</f>
        <v>6660.53</v>
      </c>
      <c r="E18" s="909"/>
      <c r="F18" s="881">
        <f t="shared" si="0"/>
        <v>399631.8</v>
      </c>
      <c r="G18" s="882"/>
      <c r="H18" s="909"/>
      <c r="I18" s="871"/>
      <c r="J18" s="872"/>
      <c r="L18" s="44">
        <f>'Servente COM Adicional'!I144</f>
        <v>6659.88</v>
      </c>
      <c r="M18" s="130">
        <f>D18-L18</f>
        <v>0.65</v>
      </c>
    </row>
    <row r="19" spans="1:16" ht="18" customHeight="1">
      <c r="A19" s="888"/>
      <c r="B19" s="900"/>
      <c r="C19" s="374" t="s">
        <v>156</v>
      </c>
      <c r="D19" s="373">
        <f>ROUND('Preço Mensal por Área'!N18+'Preço Mensal por Área'!N25+'Preço Mensal por Área'!N30,2)</f>
        <v>6633.16</v>
      </c>
      <c r="E19" s="909"/>
      <c r="F19" s="881">
        <f t="shared" si="0"/>
        <v>397989.6</v>
      </c>
      <c r="G19" s="882"/>
      <c r="H19" s="909"/>
      <c r="I19" s="871"/>
      <c r="J19" s="872"/>
      <c r="L19" s="44">
        <f>'Servente COM Adicional'!J144</f>
        <v>6632.37</v>
      </c>
      <c r="M19" s="130">
        <f t="shared" ref="M19:M25" si="1">D19-L19</f>
        <v>0.79</v>
      </c>
    </row>
    <row r="20" spans="1:16" ht="18" customHeight="1">
      <c r="A20" s="888"/>
      <c r="B20" s="900"/>
      <c r="C20" s="375" t="s">
        <v>157</v>
      </c>
      <c r="D20" s="373">
        <f>ROUND('Preço Mensal por Área'!R18+'Preço Mensal por Área'!R25+'Preço Mensal por Área'!R30,2)</f>
        <v>6666.41</v>
      </c>
      <c r="E20" s="909"/>
      <c r="F20" s="881">
        <f t="shared" si="0"/>
        <v>399984.6</v>
      </c>
      <c r="G20" s="882"/>
      <c r="H20" s="909"/>
      <c r="I20" s="871"/>
      <c r="J20" s="872"/>
      <c r="L20" s="44">
        <f>'Servente COM Adicional'!K144</f>
        <v>6665.38</v>
      </c>
      <c r="M20" s="130">
        <f t="shared" si="1"/>
        <v>1.03</v>
      </c>
    </row>
    <row r="21" spans="1:16" ht="18" customHeight="1">
      <c r="A21" s="888"/>
      <c r="B21" s="900"/>
      <c r="C21" s="376" t="s">
        <v>162</v>
      </c>
      <c r="D21" s="373">
        <f>ROUND('Preço Mensal por Área'!V18+'Preço Mensal por Área'!V25+'Preço Mensal por Área'!V30,2)</f>
        <v>6596.12</v>
      </c>
      <c r="E21" s="909"/>
      <c r="F21" s="881">
        <f t="shared" si="0"/>
        <v>395767.2</v>
      </c>
      <c r="G21" s="882"/>
      <c r="H21" s="909"/>
      <c r="I21" s="871"/>
      <c r="J21" s="872"/>
      <c r="L21" s="44">
        <f>'Servente COM Adicional'!L144</f>
        <v>6596.63</v>
      </c>
      <c r="M21" s="130">
        <f t="shared" si="1"/>
        <v>-0.51</v>
      </c>
    </row>
    <row r="22" spans="1:16" ht="18" customHeight="1">
      <c r="A22" s="888"/>
      <c r="B22" s="900"/>
      <c r="C22" s="377" t="s">
        <v>158</v>
      </c>
      <c r="D22" s="373">
        <f>ROUND('Preço Mensal por Área'!Z18+'Preço Mensal por Área'!Z25+'Preço Mensal por Área'!Z30,2)</f>
        <v>6409.67</v>
      </c>
      <c r="E22" s="909"/>
      <c r="F22" s="881">
        <f t="shared" si="0"/>
        <v>384580.2</v>
      </c>
      <c r="G22" s="882"/>
      <c r="H22" s="909"/>
      <c r="I22" s="871"/>
      <c r="J22" s="872"/>
      <c r="L22" s="44">
        <f>'Servente COM Adicional'!M144</f>
        <v>6408.17</v>
      </c>
      <c r="M22" s="130">
        <f t="shared" si="1"/>
        <v>1.5</v>
      </c>
      <c r="P22" s="130"/>
    </row>
    <row r="23" spans="1:16" ht="18" customHeight="1">
      <c r="A23" s="888"/>
      <c r="B23" s="900"/>
      <c r="C23" s="378" t="s">
        <v>159</v>
      </c>
      <c r="D23" s="373">
        <f>ROUND('Preço Mensal por Área'!AD18+'Preço Mensal por Área'!AD25+'Preço Mensal por Área'!AD30,2)</f>
        <v>6635.78</v>
      </c>
      <c r="E23" s="909"/>
      <c r="F23" s="881">
        <f t="shared" si="0"/>
        <v>398146.8</v>
      </c>
      <c r="G23" s="882"/>
      <c r="H23" s="909"/>
      <c r="I23" s="871"/>
      <c r="J23" s="872"/>
      <c r="L23" s="44">
        <f>'Servente COM Adicional'!N144</f>
        <v>6632.37</v>
      </c>
      <c r="M23" s="130">
        <f t="shared" si="1"/>
        <v>3.41</v>
      </c>
    </row>
    <row r="24" spans="1:16" ht="18" customHeight="1">
      <c r="A24" s="888"/>
      <c r="B24" s="900"/>
      <c r="C24" s="379" t="s">
        <v>160</v>
      </c>
      <c r="D24" s="373">
        <f>ROUND('Preço Mensal por Área'!AH18+'Preço Mensal por Área'!AH25+'Preço Mensal por Área'!AH30,2)</f>
        <v>20147.18</v>
      </c>
      <c r="E24" s="909"/>
      <c r="F24" s="881">
        <f t="shared" si="0"/>
        <v>1208830.8</v>
      </c>
      <c r="G24" s="882"/>
      <c r="H24" s="909"/>
      <c r="I24" s="871"/>
      <c r="J24" s="872"/>
      <c r="L24" s="44">
        <f>(2*'Servente SEM Adicional'!H142)+'Servente COM Adicional'!O144</f>
        <v>20139.88</v>
      </c>
      <c r="M24" s="130">
        <f t="shared" si="1"/>
        <v>7.3</v>
      </c>
    </row>
    <row r="25" spans="1:16" ht="18.5" customHeight="1">
      <c r="A25" s="888"/>
      <c r="B25" s="900"/>
      <c r="C25" s="380" t="s">
        <v>161</v>
      </c>
      <c r="D25" s="373">
        <f>ROUND('Preço Mensal por Área'!AL18+'Preço Mensal por Área'!AL25+'Preço Mensal por Área'!AL30,2)</f>
        <v>13688.39</v>
      </c>
      <c r="E25" s="910"/>
      <c r="F25" s="881">
        <f t="shared" si="0"/>
        <v>821303.4</v>
      </c>
      <c r="G25" s="882"/>
      <c r="H25" s="910"/>
      <c r="I25" s="871"/>
      <c r="J25" s="872"/>
      <c r="L25" s="44">
        <f>'Servente COM Adicional'!P144+'Servente SEM Adicional'!I142</f>
        <v>13688.8</v>
      </c>
      <c r="M25" s="130">
        <f t="shared" si="1"/>
        <v>-0.41</v>
      </c>
    </row>
    <row r="26" spans="1:16" ht="33.5" customHeight="1" thickBot="1">
      <c r="A26" s="888"/>
      <c r="B26" s="901"/>
      <c r="C26" s="897" t="s">
        <v>320</v>
      </c>
      <c r="D26" s="898"/>
      <c r="E26" s="381">
        <f>E16</f>
        <v>119988.89</v>
      </c>
      <c r="F26" s="382"/>
      <c r="G26" s="383"/>
      <c r="H26" s="383"/>
      <c r="I26" s="873"/>
      <c r="J26" s="874"/>
      <c r="L26" s="95">
        <f>SUM(L16:L25)</f>
        <v>119975.95</v>
      </c>
      <c r="M26" s="130"/>
    </row>
    <row r="27" spans="1:16" ht="6.65" customHeight="1" thickBot="1">
      <c r="A27" s="888"/>
      <c r="B27" s="365"/>
      <c r="C27" s="366"/>
      <c r="D27" s="366"/>
      <c r="E27" s="366"/>
      <c r="F27" s="366"/>
      <c r="G27" s="366"/>
      <c r="H27" s="366"/>
      <c r="I27" s="366"/>
      <c r="J27" s="366"/>
    </row>
    <row r="28" spans="1:16" ht="18" customHeight="1" thickBot="1">
      <c r="A28" s="888"/>
      <c r="B28" s="913" t="s">
        <v>352</v>
      </c>
      <c r="C28" s="914"/>
      <c r="D28" s="914"/>
      <c r="E28" s="914"/>
      <c r="F28" s="914"/>
      <c r="G28" s="914"/>
      <c r="H28" s="914"/>
      <c r="I28" s="915"/>
      <c r="J28" s="916"/>
      <c r="L28" s="95">
        <f>E26-L26</f>
        <v>12.94</v>
      </c>
    </row>
    <row r="29" spans="1:16" ht="54" customHeight="1" thickBot="1">
      <c r="A29" s="888"/>
      <c r="B29" s="384" t="s">
        <v>13</v>
      </c>
      <c r="C29" s="385" t="s">
        <v>65</v>
      </c>
      <c r="D29" s="385" t="s">
        <v>520</v>
      </c>
      <c r="E29" s="386" t="s">
        <v>521</v>
      </c>
      <c r="F29" s="385" t="s">
        <v>522</v>
      </c>
      <c r="G29" s="386" t="s">
        <v>523</v>
      </c>
      <c r="H29" s="387" t="s">
        <v>353</v>
      </c>
      <c r="I29" s="385" t="s">
        <v>347</v>
      </c>
      <c r="J29" s="388" t="s">
        <v>358</v>
      </c>
      <c r="L29" s="130">
        <f>L28*60</f>
        <v>776.4</v>
      </c>
      <c r="M29" s="389"/>
      <c r="N29" s="390"/>
    </row>
    <row r="30" spans="1:16" ht="18" customHeight="1" thickBot="1">
      <c r="A30" s="888"/>
      <c r="B30" s="391">
        <v>2</v>
      </c>
      <c r="C30" s="392" t="s">
        <v>136</v>
      </c>
      <c r="D30" s="393">
        <f>'Serviços Eventuais'!H13</f>
        <v>1490</v>
      </c>
      <c r="E30" s="394">
        <f>'Serviços Eventuais'!H15</f>
        <v>14.9</v>
      </c>
      <c r="F30" s="394">
        <f>'Serviços Eventuais'!H34</f>
        <v>1820</v>
      </c>
      <c r="G30" s="395">
        <f>'Serviços Eventuais'!H30</f>
        <v>18.2</v>
      </c>
      <c r="H30" s="396">
        <f>'Serviços Eventuais'!H11</f>
        <v>100</v>
      </c>
      <c r="I30" s="397">
        <f>'Serviços Eventuais'!H38</f>
        <v>30</v>
      </c>
      <c r="J30" s="398">
        <f>'Serviços Eventuais'!H40</f>
        <v>54600</v>
      </c>
    </row>
    <row r="31" spans="1:16" ht="18" customHeight="1" thickBot="1">
      <c r="A31" s="888"/>
      <c r="B31" s="391">
        <v>3</v>
      </c>
      <c r="C31" s="399" t="s">
        <v>157</v>
      </c>
      <c r="D31" s="393">
        <f>'Serviços Eventuais'!I13</f>
        <v>1490</v>
      </c>
      <c r="E31" s="394">
        <f>'Serviços Eventuais'!I15</f>
        <v>14.9</v>
      </c>
      <c r="F31" s="394">
        <f>'Serviços Eventuais'!I34</f>
        <v>1820</v>
      </c>
      <c r="G31" s="395">
        <f>'Serviços Eventuais'!I30</f>
        <v>18.2</v>
      </c>
      <c r="H31" s="396">
        <f>'Serviços Eventuais'!I11</f>
        <v>100</v>
      </c>
      <c r="I31" s="397">
        <f>'Serviços Eventuais'!I38</f>
        <v>30</v>
      </c>
      <c r="J31" s="398">
        <f>'Serviços Eventuais'!I40</f>
        <v>54600</v>
      </c>
    </row>
    <row r="32" spans="1:16" ht="18" customHeight="1" thickBot="1">
      <c r="A32" s="888"/>
      <c r="B32" s="391">
        <v>4</v>
      </c>
      <c r="C32" s="400" t="s">
        <v>158</v>
      </c>
      <c r="D32" s="393">
        <f>'Serviços Eventuais'!J13</f>
        <v>2279</v>
      </c>
      <c r="E32" s="394">
        <f>'Serviços Eventuais'!J15</f>
        <v>10.6</v>
      </c>
      <c r="F32" s="394">
        <f>'Serviços Eventuais'!J34</f>
        <v>2696.1</v>
      </c>
      <c r="G32" s="395">
        <f>'Serviços Eventuais'!J30</f>
        <v>12.54</v>
      </c>
      <c r="H32" s="396">
        <f>'Serviços Eventuais'!J11</f>
        <v>215</v>
      </c>
      <c r="I32" s="397">
        <f>'Serviços Eventuais'!J38</f>
        <v>30</v>
      </c>
      <c r="J32" s="398">
        <f>'Serviços Eventuais'!J40</f>
        <v>80883</v>
      </c>
    </row>
    <row r="33" spans="1:11" ht="18" customHeight="1" thickBot="1">
      <c r="A33" s="888"/>
      <c r="B33" s="391">
        <v>5</v>
      </c>
      <c r="C33" s="401" t="s">
        <v>160</v>
      </c>
      <c r="D33" s="393">
        <f>'Serviços Eventuais'!K13</f>
        <v>2713.3</v>
      </c>
      <c r="E33" s="394">
        <f>'Serviços Eventuais'!K15</f>
        <v>6.31</v>
      </c>
      <c r="F33" s="394">
        <f>'Serviços Eventuais'!K34</f>
        <v>3306.7</v>
      </c>
      <c r="G33" s="395">
        <f>'Serviços Eventuais'!K30</f>
        <v>7.69</v>
      </c>
      <c r="H33" s="396">
        <f>'Serviços Eventuais'!K11</f>
        <v>430</v>
      </c>
      <c r="I33" s="397">
        <f>'Serviços Eventuais'!K38</f>
        <v>30</v>
      </c>
      <c r="J33" s="398">
        <f>'Serviços Eventuais'!K40</f>
        <v>99201</v>
      </c>
    </row>
    <row r="34" spans="1:11" ht="18" customHeight="1" thickBot="1">
      <c r="A34" s="888"/>
      <c r="B34" s="391">
        <v>6</v>
      </c>
      <c r="C34" s="402" t="s">
        <v>161</v>
      </c>
      <c r="D34" s="393">
        <f>'Serviços Eventuais'!L13</f>
        <v>3306</v>
      </c>
      <c r="E34" s="394">
        <f>'Serviços Eventuais'!L15</f>
        <v>0.28999999999999998</v>
      </c>
      <c r="F34" s="394">
        <f>'Serviços Eventuais'!L34</f>
        <v>3990</v>
      </c>
      <c r="G34" s="395">
        <f>'Serviços Eventuais'!L30</f>
        <v>0.35</v>
      </c>
      <c r="H34" s="396">
        <f>'Serviços Eventuais'!L11</f>
        <v>11400</v>
      </c>
      <c r="I34" s="397">
        <f>'Serviços Eventuais'!L38</f>
        <v>60</v>
      </c>
      <c r="J34" s="398">
        <f>'Serviços Eventuais'!L40</f>
        <v>239400</v>
      </c>
    </row>
    <row r="35" spans="1:11" ht="20" customHeight="1" thickBot="1">
      <c r="A35" s="888"/>
      <c r="B35" s="902" t="s">
        <v>350</v>
      </c>
      <c r="C35" s="903"/>
      <c r="D35" s="903"/>
      <c r="E35" s="903"/>
      <c r="F35" s="903"/>
      <c r="G35" s="903"/>
      <c r="H35" s="903"/>
      <c r="I35" s="904"/>
      <c r="J35" s="403">
        <f>ROUND(SUM(J30:J34),2)</f>
        <v>528684</v>
      </c>
    </row>
    <row r="36" spans="1:11" ht="6" customHeight="1">
      <c r="A36" s="888"/>
      <c r="B36" s="404"/>
      <c r="C36" s="405"/>
      <c r="D36" s="405"/>
      <c r="E36" s="405"/>
      <c r="F36" s="405"/>
      <c r="G36" s="405"/>
      <c r="H36" s="406"/>
      <c r="I36" s="406"/>
      <c r="J36" s="407"/>
    </row>
    <row r="37" spans="1:11" ht="26.5" customHeight="1">
      <c r="A37" s="888"/>
      <c r="B37" s="907" t="s">
        <v>342</v>
      </c>
      <c r="C37" s="907"/>
      <c r="D37" s="907"/>
      <c r="E37" s="907"/>
      <c r="F37" s="907"/>
      <c r="G37" s="907"/>
      <c r="H37" s="908"/>
      <c r="I37" s="408"/>
      <c r="J37" s="409">
        <f>ROUND(SUM(I16,J35),2)</f>
        <v>7728017.4000000004</v>
      </c>
      <c r="K37" s="410"/>
    </row>
    <row r="38" spans="1:11" ht="6.65" customHeight="1"/>
    <row r="39" spans="1:11">
      <c r="B39" s="365"/>
      <c r="J39" s="412"/>
    </row>
    <row r="40" spans="1:11" ht="21" customHeight="1">
      <c r="B40" s="365"/>
      <c r="H40" s="413"/>
      <c r="I40" s="413"/>
      <c r="J40" s="414"/>
    </row>
    <row r="41" spans="1:11" ht="16" customHeight="1">
      <c r="B41" s="365"/>
    </row>
    <row r="42" spans="1:11">
      <c r="B42" s="365"/>
    </row>
    <row r="43" spans="1:11">
      <c r="B43" s="365"/>
    </row>
    <row r="44" spans="1:11">
      <c r="B44" s="365"/>
    </row>
    <row r="45" spans="1:11">
      <c r="B45" s="365"/>
    </row>
    <row r="46" spans="1:11">
      <c r="B46" s="365"/>
    </row>
    <row r="47" spans="1:11">
      <c r="B47" s="365"/>
    </row>
    <row r="48" spans="1:11">
      <c r="B48" s="365"/>
    </row>
    <row r="49" spans="2:2">
      <c r="B49" s="365"/>
    </row>
    <row r="50" spans="2:2">
      <c r="B50" s="365"/>
    </row>
    <row r="51" spans="2:2">
      <c r="B51" s="365"/>
    </row>
    <row r="52" spans="2:2">
      <c r="B52" s="365"/>
    </row>
    <row r="53" spans="2:2">
      <c r="B53" s="365"/>
    </row>
    <row r="54" spans="2:2">
      <c r="B54" s="365"/>
    </row>
    <row r="55" spans="2:2">
      <c r="B55" s="365"/>
    </row>
    <row r="56" spans="2:2">
      <c r="B56" s="365"/>
    </row>
    <row r="57" spans="2:2">
      <c r="B57" s="365"/>
    </row>
    <row r="58" spans="2:2">
      <c r="B58" s="365"/>
    </row>
    <row r="59" spans="2:2">
      <c r="B59" s="365"/>
    </row>
    <row r="60" spans="2:2">
      <c r="B60" s="365"/>
    </row>
    <row r="61" spans="2:2">
      <c r="B61" s="365"/>
    </row>
    <row r="62" spans="2:2">
      <c r="B62" s="365"/>
    </row>
    <row r="63" spans="2:2">
      <c r="B63" s="365"/>
    </row>
    <row r="64" spans="2:2">
      <c r="B64" s="365"/>
    </row>
    <row r="65" spans="2:2">
      <c r="B65" s="365"/>
    </row>
    <row r="66" spans="2:2">
      <c r="B66" s="365"/>
    </row>
    <row r="67" spans="2:2">
      <c r="B67" s="365"/>
    </row>
    <row r="68" spans="2:2">
      <c r="B68" s="365"/>
    </row>
    <row r="69" spans="2:2">
      <c r="B69" s="365"/>
    </row>
    <row r="70" spans="2:2">
      <c r="B70" s="365"/>
    </row>
    <row r="71" spans="2:2">
      <c r="B71" s="365"/>
    </row>
    <row r="72" spans="2:2">
      <c r="B72" s="365"/>
    </row>
    <row r="73" spans="2:2">
      <c r="B73" s="365"/>
    </row>
    <row r="74" spans="2:2">
      <c r="B74" s="365"/>
    </row>
    <row r="75" spans="2:2">
      <c r="B75" s="365"/>
    </row>
    <row r="76" spans="2:2">
      <c r="B76" s="365"/>
    </row>
    <row r="77" spans="2:2">
      <c r="B77" s="365"/>
    </row>
    <row r="78" spans="2:2">
      <c r="B78" s="365"/>
    </row>
    <row r="79" spans="2:2">
      <c r="B79" s="365"/>
    </row>
    <row r="80" spans="2:2">
      <c r="B80" s="365"/>
    </row>
    <row r="81" spans="2:2">
      <c r="B81" s="365"/>
    </row>
    <row r="82" spans="2:2">
      <c r="B82" s="365"/>
    </row>
    <row r="83" spans="2:2">
      <c r="B83" s="365"/>
    </row>
    <row r="84" spans="2:2">
      <c r="B84" s="365"/>
    </row>
    <row r="85" spans="2:2">
      <c r="B85" s="365"/>
    </row>
    <row r="86" spans="2:2">
      <c r="B86" s="365"/>
    </row>
    <row r="87" spans="2:2">
      <c r="B87" s="365"/>
    </row>
    <row r="88" spans="2:2">
      <c r="B88" s="365"/>
    </row>
    <row r="89" spans="2:2">
      <c r="B89" s="365"/>
    </row>
    <row r="90" spans="2:2">
      <c r="B90" s="365"/>
    </row>
    <row r="91" spans="2:2">
      <c r="B91" s="365"/>
    </row>
    <row r="92" spans="2:2">
      <c r="B92" s="365"/>
    </row>
    <row r="93" spans="2:2">
      <c r="B93" s="365"/>
    </row>
    <row r="94" spans="2:2">
      <c r="B94" s="365"/>
    </row>
    <row r="95" spans="2:2">
      <c r="B95" s="365"/>
    </row>
    <row r="96" spans="2:2">
      <c r="B96" s="365"/>
    </row>
    <row r="97" spans="2:2">
      <c r="B97" s="365"/>
    </row>
    <row r="98" spans="2:2">
      <c r="B98" s="365"/>
    </row>
    <row r="99" spans="2:2">
      <c r="B99" s="365"/>
    </row>
    <row r="100" spans="2:2">
      <c r="B100" s="365"/>
    </row>
    <row r="101" spans="2:2">
      <c r="B101" s="365"/>
    </row>
    <row r="102" spans="2:2">
      <c r="B102" s="365"/>
    </row>
    <row r="103" spans="2:2">
      <c r="B103" s="365"/>
    </row>
    <row r="104" spans="2:2">
      <c r="B104" s="365"/>
    </row>
    <row r="105" spans="2:2">
      <c r="B105" s="365"/>
    </row>
    <row r="106" spans="2:2">
      <c r="B106" s="365"/>
    </row>
    <row r="107" spans="2:2">
      <c r="B107" s="365"/>
    </row>
    <row r="108" spans="2:2">
      <c r="B108" s="365"/>
    </row>
    <row r="109" spans="2:2">
      <c r="B109" s="365"/>
    </row>
    <row r="110" spans="2:2">
      <c r="B110" s="365"/>
    </row>
    <row r="111" spans="2:2">
      <c r="B111" s="365"/>
    </row>
    <row r="112" spans="2:2">
      <c r="B112" s="365"/>
    </row>
    <row r="113" spans="2:2">
      <c r="B113" s="365"/>
    </row>
    <row r="114" spans="2:2">
      <c r="B114" s="365"/>
    </row>
    <row r="115" spans="2:2">
      <c r="B115" s="365"/>
    </row>
    <row r="116" spans="2:2">
      <c r="B116" s="365"/>
    </row>
    <row r="117" spans="2:2">
      <c r="B117" s="365"/>
    </row>
    <row r="118" spans="2:2">
      <c r="B118" s="365"/>
    </row>
    <row r="119" spans="2:2">
      <c r="B119" s="365"/>
    </row>
    <row r="120" spans="2:2">
      <c r="B120" s="365"/>
    </row>
    <row r="121" spans="2:2">
      <c r="B121" s="365"/>
    </row>
    <row r="122" spans="2:2">
      <c r="B122" s="365"/>
    </row>
    <row r="123" spans="2:2">
      <c r="B123" s="365"/>
    </row>
    <row r="124" spans="2:2">
      <c r="B124" s="365"/>
    </row>
    <row r="125" spans="2:2">
      <c r="B125" s="365"/>
    </row>
    <row r="126" spans="2:2">
      <c r="B126" s="365"/>
    </row>
    <row r="127" spans="2:2">
      <c r="B127" s="365"/>
    </row>
    <row r="128" spans="2:2">
      <c r="B128" s="365"/>
    </row>
    <row r="129" spans="2:2">
      <c r="B129" s="365"/>
    </row>
    <row r="130" spans="2:2">
      <c r="B130" s="365"/>
    </row>
    <row r="131" spans="2:2">
      <c r="B131" s="365"/>
    </row>
    <row r="132" spans="2:2">
      <c r="B132" s="365"/>
    </row>
    <row r="133" spans="2:2">
      <c r="B133" s="365"/>
    </row>
    <row r="134" spans="2:2">
      <c r="B134" s="365"/>
    </row>
    <row r="135" spans="2:2">
      <c r="B135" s="365"/>
    </row>
    <row r="136" spans="2:2">
      <c r="B136" s="365"/>
    </row>
    <row r="137" spans="2:2">
      <c r="B137" s="365"/>
    </row>
    <row r="138" spans="2:2">
      <c r="B138" s="365"/>
    </row>
    <row r="139" spans="2:2">
      <c r="B139" s="365"/>
    </row>
    <row r="140" spans="2:2">
      <c r="B140" s="365"/>
    </row>
    <row r="141" spans="2:2">
      <c r="B141" s="365"/>
    </row>
    <row r="142" spans="2:2">
      <c r="B142" s="365"/>
    </row>
    <row r="143" spans="2:2">
      <c r="B143" s="365"/>
    </row>
    <row r="144" spans="2:2">
      <c r="B144" s="365"/>
    </row>
    <row r="145" spans="2:2">
      <c r="B145" s="365"/>
    </row>
    <row r="146" spans="2:2">
      <c r="B146" s="365"/>
    </row>
    <row r="147" spans="2:2">
      <c r="B147" s="365"/>
    </row>
    <row r="148" spans="2:2">
      <c r="B148" s="365"/>
    </row>
    <row r="149" spans="2:2">
      <c r="B149" s="365"/>
    </row>
    <row r="150" spans="2:2">
      <c r="B150" s="365"/>
    </row>
    <row r="151" spans="2:2">
      <c r="B151" s="365"/>
    </row>
    <row r="152" spans="2:2">
      <c r="B152" s="365"/>
    </row>
    <row r="153" spans="2:2">
      <c r="B153" s="365"/>
    </row>
    <row r="154" spans="2:2">
      <c r="B154" s="365"/>
    </row>
    <row r="155" spans="2:2">
      <c r="B155" s="365"/>
    </row>
    <row r="156" spans="2:2">
      <c r="B156" s="365"/>
    </row>
    <row r="157" spans="2:2">
      <c r="B157" s="365"/>
    </row>
    <row r="158" spans="2:2">
      <c r="B158" s="365"/>
    </row>
    <row r="159" spans="2:2">
      <c r="B159" s="365"/>
    </row>
    <row r="160" spans="2:2">
      <c r="B160" s="365"/>
    </row>
    <row r="161" spans="2:2">
      <c r="B161" s="365"/>
    </row>
    <row r="162" spans="2:2">
      <c r="B162" s="365"/>
    </row>
    <row r="163" spans="2:2">
      <c r="B163" s="365"/>
    </row>
    <row r="164" spans="2:2">
      <c r="B164" s="365"/>
    </row>
    <row r="165" spans="2:2">
      <c r="B165" s="365"/>
    </row>
    <row r="166" spans="2:2">
      <c r="B166" s="365"/>
    </row>
    <row r="167" spans="2:2">
      <c r="B167" s="365"/>
    </row>
    <row r="168" spans="2:2">
      <c r="B168" s="365"/>
    </row>
    <row r="169" spans="2:2">
      <c r="B169" s="365"/>
    </row>
    <row r="170" spans="2:2">
      <c r="B170" s="365"/>
    </row>
    <row r="171" spans="2:2">
      <c r="B171" s="365"/>
    </row>
    <row r="172" spans="2:2">
      <c r="B172" s="365"/>
    </row>
    <row r="173" spans="2:2">
      <c r="B173" s="365"/>
    </row>
    <row r="174" spans="2:2">
      <c r="B174" s="365"/>
    </row>
    <row r="175" spans="2:2">
      <c r="B175" s="365"/>
    </row>
    <row r="176" spans="2:2">
      <c r="B176" s="365"/>
    </row>
    <row r="177" spans="2:2">
      <c r="B177" s="365"/>
    </row>
    <row r="178" spans="2:2">
      <c r="B178" s="365"/>
    </row>
    <row r="179" spans="2:2">
      <c r="B179" s="365"/>
    </row>
    <row r="180" spans="2:2">
      <c r="B180" s="365"/>
    </row>
    <row r="181" spans="2:2">
      <c r="B181" s="365"/>
    </row>
    <row r="182" spans="2:2">
      <c r="B182" s="365"/>
    </row>
    <row r="183" spans="2:2">
      <c r="B183" s="365"/>
    </row>
    <row r="184" spans="2:2">
      <c r="B184" s="365"/>
    </row>
    <row r="185" spans="2:2">
      <c r="B185" s="365"/>
    </row>
    <row r="186" spans="2:2">
      <c r="B186" s="365"/>
    </row>
    <row r="187" spans="2:2">
      <c r="B187" s="365"/>
    </row>
    <row r="188" spans="2:2">
      <c r="B188" s="365"/>
    </row>
    <row r="189" spans="2:2">
      <c r="B189" s="365"/>
    </row>
    <row r="190" spans="2:2">
      <c r="B190" s="365"/>
    </row>
    <row r="191" spans="2:2">
      <c r="B191" s="365"/>
    </row>
    <row r="192" spans="2:2">
      <c r="B192" s="365"/>
    </row>
    <row r="193" spans="2:2">
      <c r="B193" s="365"/>
    </row>
    <row r="194" spans="2:2">
      <c r="B194" s="365"/>
    </row>
    <row r="195" spans="2:2">
      <c r="B195" s="365"/>
    </row>
    <row r="196" spans="2:2">
      <c r="B196" s="365"/>
    </row>
    <row r="197" spans="2:2">
      <c r="B197" s="365"/>
    </row>
    <row r="198" spans="2:2">
      <c r="B198" s="365"/>
    </row>
    <row r="199" spans="2:2">
      <c r="B199" s="365"/>
    </row>
    <row r="200" spans="2:2">
      <c r="B200" s="365"/>
    </row>
    <row r="201" spans="2:2">
      <c r="B201" s="365"/>
    </row>
    <row r="202" spans="2:2">
      <c r="B202" s="365"/>
    </row>
    <row r="203" spans="2:2">
      <c r="B203" s="365"/>
    </row>
    <row r="204" spans="2:2">
      <c r="B204" s="365"/>
    </row>
    <row r="205" spans="2:2">
      <c r="B205" s="365"/>
    </row>
    <row r="206" spans="2:2">
      <c r="B206" s="365"/>
    </row>
    <row r="207" spans="2:2">
      <c r="B207" s="365"/>
    </row>
    <row r="208" spans="2:2">
      <c r="B208" s="365"/>
    </row>
    <row r="209" spans="2:2">
      <c r="B209" s="365"/>
    </row>
    <row r="210" spans="2:2">
      <c r="B210" s="365"/>
    </row>
    <row r="211" spans="2:2">
      <c r="B211" s="365"/>
    </row>
    <row r="212" spans="2:2">
      <c r="B212" s="365"/>
    </row>
    <row r="213" spans="2:2">
      <c r="B213" s="365"/>
    </row>
    <row r="214" spans="2:2">
      <c r="B214" s="365"/>
    </row>
    <row r="215" spans="2:2">
      <c r="B215" s="365"/>
    </row>
    <row r="216" spans="2:2">
      <c r="B216" s="365"/>
    </row>
    <row r="217" spans="2:2">
      <c r="B217" s="365"/>
    </row>
    <row r="218" spans="2:2">
      <c r="B218" s="365"/>
    </row>
    <row r="219" spans="2:2">
      <c r="B219" s="365"/>
    </row>
    <row r="220" spans="2:2">
      <c r="B220" s="365"/>
    </row>
    <row r="221" spans="2:2">
      <c r="B221" s="365"/>
    </row>
    <row r="222" spans="2:2">
      <c r="B222" s="365"/>
    </row>
    <row r="223" spans="2:2">
      <c r="B223" s="365"/>
    </row>
    <row r="224" spans="2:2">
      <c r="B224" s="365"/>
    </row>
    <row r="225" spans="2:2">
      <c r="B225" s="365"/>
    </row>
    <row r="226" spans="2:2">
      <c r="B226" s="365"/>
    </row>
    <row r="227" spans="2:2">
      <c r="B227" s="365"/>
    </row>
    <row r="228" spans="2:2">
      <c r="B228" s="365"/>
    </row>
    <row r="229" spans="2:2">
      <c r="B229" s="365"/>
    </row>
    <row r="230" spans="2:2">
      <c r="B230" s="365"/>
    </row>
    <row r="231" spans="2:2">
      <c r="B231" s="365"/>
    </row>
    <row r="232" spans="2:2">
      <c r="B232" s="365"/>
    </row>
    <row r="233" spans="2:2">
      <c r="B233" s="365"/>
    </row>
    <row r="234" spans="2:2">
      <c r="B234" s="365"/>
    </row>
    <row r="235" spans="2:2">
      <c r="B235" s="365"/>
    </row>
    <row r="236" spans="2:2">
      <c r="B236" s="365"/>
    </row>
    <row r="237" spans="2:2">
      <c r="B237" s="365"/>
    </row>
    <row r="238" spans="2:2">
      <c r="B238" s="365"/>
    </row>
    <row r="239" spans="2:2">
      <c r="B239" s="365"/>
    </row>
    <row r="240" spans="2:2">
      <c r="B240" s="365"/>
    </row>
    <row r="241" spans="2:2">
      <c r="B241" s="365"/>
    </row>
    <row r="242" spans="2:2">
      <c r="B242" s="365"/>
    </row>
    <row r="243" spans="2:2">
      <c r="B243" s="365"/>
    </row>
    <row r="244" spans="2:2">
      <c r="B244" s="365"/>
    </row>
    <row r="245" spans="2:2">
      <c r="B245" s="365"/>
    </row>
    <row r="246" spans="2:2">
      <c r="B246" s="365"/>
    </row>
    <row r="247" spans="2:2">
      <c r="B247" s="365"/>
    </row>
    <row r="248" spans="2:2">
      <c r="B248" s="365"/>
    </row>
    <row r="249" spans="2:2">
      <c r="B249" s="365"/>
    </row>
    <row r="250" spans="2:2">
      <c r="B250" s="365"/>
    </row>
    <row r="251" spans="2:2">
      <c r="B251" s="365"/>
    </row>
    <row r="252" spans="2:2">
      <c r="B252" s="365"/>
    </row>
    <row r="253" spans="2:2">
      <c r="B253" s="365"/>
    </row>
    <row r="254" spans="2:2">
      <c r="B254" s="365"/>
    </row>
    <row r="255" spans="2:2">
      <c r="B255" s="365"/>
    </row>
    <row r="256" spans="2:2">
      <c r="B256" s="365"/>
    </row>
    <row r="257" spans="2:2">
      <c r="B257" s="365"/>
    </row>
    <row r="258" spans="2:2">
      <c r="B258" s="365"/>
    </row>
    <row r="259" spans="2:2">
      <c r="B259" s="365"/>
    </row>
    <row r="260" spans="2:2">
      <c r="B260" s="365"/>
    </row>
    <row r="261" spans="2:2">
      <c r="B261" s="365"/>
    </row>
    <row r="262" spans="2:2">
      <c r="B262" s="365"/>
    </row>
    <row r="263" spans="2:2">
      <c r="B263" s="365"/>
    </row>
    <row r="264" spans="2:2">
      <c r="B264" s="365"/>
    </row>
    <row r="265" spans="2:2">
      <c r="B265" s="365"/>
    </row>
    <row r="266" spans="2:2">
      <c r="B266" s="365"/>
    </row>
    <row r="267" spans="2:2">
      <c r="B267" s="365"/>
    </row>
    <row r="268" spans="2:2">
      <c r="B268" s="365"/>
    </row>
    <row r="269" spans="2:2">
      <c r="B269" s="365"/>
    </row>
    <row r="270" spans="2:2">
      <c r="B270" s="365"/>
    </row>
    <row r="271" spans="2:2">
      <c r="B271" s="365"/>
    </row>
    <row r="272" spans="2:2">
      <c r="B272" s="365"/>
    </row>
    <row r="273" spans="2:2">
      <c r="B273" s="365"/>
    </row>
    <row r="274" spans="2:2">
      <c r="B274" s="365"/>
    </row>
    <row r="275" spans="2:2">
      <c r="B275" s="365"/>
    </row>
    <row r="276" spans="2:2">
      <c r="B276" s="365"/>
    </row>
    <row r="277" spans="2:2">
      <c r="B277" s="365"/>
    </row>
    <row r="278" spans="2:2">
      <c r="B278" s="365"/>
    </row>
    <row r="279" spans="2:2">
      <c r="B279" s="365"/>
    </row>
    <row r="280" spans="2:2">
      <c r="B280" s="365"/>
    </row>
    <row r="281" spans="2:2">
      <c r="B281" s="365"/>
    </row>
    <row r="282" spans="2:2">
      <c r="B282" s="365"/>
    </row>
    <row r="283" spans="2:2">
      <c r="B283" s="365"/>
    </row>
    <row r="284" spans="2:2">
      <c r="B284" s="365"/>
    </row>
    <row r="285" spans="2:2">
      <c r="B285" s="365"/>
    </row>
    <row r="286" spans="2:2">
      <c r="B286" s="365"/>
    </row>
    <row r="287" spans="2:2">
      <c r="B287" s="365"/>
    </row>
    <row r="288" spans="2:2">
      <c r="B288" s="365"/>
    </row>
    <row r="289" spans="2:2">
      <c r="B289" s="365"/>
    </row>
    <row r="290" spans="2:2">
      <c r="B290" s="365"/>
    </row>
    <row r="291" spans="2:2">
      <c r="B291" s="365"/>
    </row>
    <row r="292" spans="2:2">
      <c r="B292" s="365"/>
    </row>
    <row r="293" spans="2:2">
      <c r="B293" s="365"/>
    </row>
    <row r="294" spans="2:2">
      <c r="B294" s="365"/>
    </row>
    <row r="295" spans="2:2">
      <c r="B295" s="365"/>
    </row>
    <row r="296" spans="2:2">
      <c r="B296" s="365"/>
    </row>
    <row r="297" spans="2:2">
      <c r="B297" s="365"/>
    </row>
    <row r="298" spans="2:2">
      <c r="B298" s="365"/>
    </row>
    <row r="299" spans="2:2">
      <c r="B299" s="365"/>
    </row>
    <row r="300" spans="2:2">
      <c r="B300" s="365"/>
    </row>
    <row r="301" spans="2:2">
      <c r="B301" s="365"/>
    </row>
    <row r="302" spans="2:2">
      <c r="B302" s="365"/>
    </row>
    <row r="303" spans="2:2">
      <c r="B303" s="365"/>
    </row>
    <row r="304" spans="2:2">
      <c r="B304" s="365"/>
    </row>
    <row r="305" spans="2:2">
      <c r="B305" s="365"/>
    </row>
    <row r="306" spans="2:2">
      <c r="B306" s="365"/>
    </row>
    <row r="307" spans="2:2">
      <c r="B307" s="365"/>
    </row>
    <row r="308" spans="2:2">
      <c r="B308" s="365"/>
    </row>
    <row r="309" spans="2:2">
      <c r="B309" s="365"/>
    </row>
    <row r="310" spans="2:2">
      <c r="B310" s="365"/>
    </row>
    <row r="311" spans="2:2">
      <c r="B311" s="365"/>
    </row>
    <row r="312" spans="2:2">
      <c r="B312" s="365"/>
    </row>
    <row r="313" spans="2:2">
      <c r="B313" s="365"/>
    </row>
    <row r="314" spans="2:2">
      <c r="B314" s="365"/>
    </row>
    <row r="315" spans="2:2">
      <c r="B315" s="365"/>
    </row>
    <row r="316" spans="2:2">
      <c r="B316" s="365"/>
    </row>
    <row r="317" spans="2:2">
      <c r="B317" s="365"/>
    </row>
    <row r="318" spans="2:2">
      <c r="B318" s="365"/>
    </row>
    <row r="319" spans="2:2">
      <c r="B319" s="365"/>
    </row>
    <row r="320" spans="2:2">
      <c r="B320" s="365"/>
    </row>
    <row r="321" spans="2:2">
      <c r="B321" s="365"/>
    </row>
    <row r="322" spans="2:2">
      <c r="B322" s="365"/>
    </row>
    <row r="323" spans="2:2">
      <c r="B323" s="365"/>
    </row>
    <row r="324" spans="2:2">
      <c r="B324" s="365"/>
    </row>
    <row r="325" spans="2:2">
      <c r="B325" s="365"/>
    </row>
    <row r="326" spans="2:2">
      <c r="B326" s="365"/>
    </row>
    <row r="327" spans="2:2">
      <c r="B327" s="365"/>
    </row>
    <row r="328" spans="2:2">
      <c r="B328" s="365"/>
    </row>
    <row r="329" spans="2:2">
      <c r="B329" s="365"/>
    </row>
    <row r="330" spans="2:2">
      <c r="B330" s="365"/>
    </row>
    <row r="331" spans="2:2">
      <c r="B331" s="365"/>
    </row>
    <row r="332" spans="2:2">
      <c r="B332" s="365"/>
    </row>
    <row r="333" spans="2:2">
      <c r="B333" s="365"/>
    </row>
    <row r="334" spans="2:2">
      <c r="B334" s="365"/>
    </row>
    <row r="335" spans="2:2">
      <c r="B335" s="365"/>
    </row>
    <row r="336" spans="2:2">
      <c r="B336" s="365"/>
    </row>
    <row r="337" spans="2:2">
      <c r="B337" s="365"/>
    </row>
    <row r="338" spans="2:2">
      <c r="B338" s="365"/>
    </row>
    <row r="339" spans="2:2">
      <c r="B339" s="365"/>
    </row>
    <row r="340" spans="2:2">
      <c r="B340" s="365"/>
    </row>
    <row r="341" spans="2:2">
      <c r="B341" s="365"/>
    </row>
    <row r="342" spans="2:2">
      <c r="B342" s="365"/>
    </row>
    <row r="343" spans="2:2">
      <c r="B343" s="365"/>
    </row>
    <row r="344" spans="2:2">
      <c r="B344" s="365"/>
    </row>
    <row r="345" spans="2:2">
      <c r="B345" s="365"/>
    </row>
    <row r="346" spans="2:2">
      <c r="B346" s="365"/>
    </row>
    <row r="347" spans="2:2">
      <c r="B347" s="365"/>
    </row>
    <row r="348" spans="2:2">
      <c r="B348" s="365"/>
    </row>
    <row r="349" spans="2:2">
      <c r="B349" s="365"/>
    </row>
    <row r="350" spans="2:2">
      <c r="B350" s="365"/>
    </row>
    <row r="351" spans="2:2">
      <c r="B351" s="365"/>
    </row>
    <row r="352" spans="2:2">
      <c r="B352" s="365"/>
    </row>
    <row r="353" spans="2:2">
      <c r="B353" s="365"/>
    </row>
    <row r="354" spans="2:2">
      <c r="B354" s="365"/>
    </row>
    <row r="355" spans="2:2">
      <c r="B355" s="365"/>
    </row>
    <row r="356" spans="2:2">
      <c r="B356" s="365"/>
    </row>
    <row r="357" spans="2:2">
      <c r="B357" s="365"/>
    </row>
    <row r="358" spans="2:2">
      <c r="B358" s="365"/>
    </row>
    <row r="359" spans="2:2">
      <c r="B359" s="365"/>
    </row>
    <row r="360" spans="2:2">
      <c r="B360" s="365"/>
    </row>
    <row r="361" spans="2:2">
      <c r="B361" s="365"/>
    </row>
    <row r="362" spans="2:2">
      <c r="B362" s="365"/>
    </row>
    <row r="363" spans="2:2">
      <c r="B363" s="365"/>
    </row>
    <row r="364" spans="2:2">
      <c r="B364" s="365"/>
    </row>
    <row r="365" spans="2:2">
      <c r="B365" s="365"/>
    </row>
    <row r="366" spans="2:2">
      <c r="B366" s="365"/>
    </row>
    <row r="367" spans="2:2">
      <c r="B367" s="365"/>
    </row>
    <row r="368" spans="2:2">
      <c r="B368" s="365"/>
    </row>
    <row r="369" spans="2:2">
      <c r="B369" s="365"/>
    </row>
    <row r="370" spans="2:2">
      <c r="B370" s="365"/>
    </row>
    <row r="371" spans="2:2">
      <c r="B371" s="365"/>
    </row>
    <row r="372" spans="2:2">
      <c r="B372" s="365"/>
    </row>
    <row r="373" spans="2:2">
      <c r="B373" s="365"/>
    </row>
    <row r="374" spans="2:2">
      <c r="B374" s="365"/>
    </row>
    <row r="375" spans="2:2">
      <c r="B375" s="365"/>
    </row>
    <row r="376" spans="2:2">
      <c r="B376" s="365"/>
    </row>
    <row r="377" spans="2:2">
      <c r="B377" s="365"/>
    </row>
    <row r="378" spans="2:2">
      <c r="B378" s="365"/>
    </row>
    <row r="379" spans="2:2">
      <c r="B379" s="365"/>
    </row>
    <row r="380" spans="2:2">
      <c r="B380" s="365"/>
    </row>
    <row r="381" spans="2:2">
      <c r="B381" s="365"/>
    </row>
    <row r="382" spans="2:2">
      <c r="B382" s="365"/>
    </row>
    <row r="383" spans="2:2">
      <c r="B383" s="365"/>
    </row>
    <row r="384" spans="2:2">
      <c r="B384" s="365"/>
    </row>
    <row r="385" spans="2:2">
      <c r="B385" s="365"/>
    </row>
    <row r="386" spans="2:2">
      <c r="B386" s="365"/>
    </row>
    <row r="387" spans="2:2">
      <c r="B387" s="365"/>
    </row>
    <row r="388" spans="2:2">
      <c r="B388" s="365"/>
    </row>
    <row r="389" spans="2:2">
      <c r="B389" s="365"/>
    </row>
    <row r="390" spans="2:2">
      <c r="B390" s="365"/>
    </row>
    <row r="391" spans="2:2">
      <c r="B391" s="365"/>
    </row>
    <row r="392" spans="2:2">
      <c r="B392" s="365"/>
    </row>
    <row r="393" spans="2:2">
      <c r="B393" s="365"/>
    </row>
    <row r="394" spans="2:2">
      <c r="B394" s="365"/>
    </row>
    <row r="395" spans="2:2">
      <c r="B395" s="365"/>
    </row>
    <row r="396" spans="2:2">
      <c r="B396" s="365"/>
    </row>
    <row r="397" spans="2:2">
      <c r="B397" s="365"/>
    </row>
    <row r="398" spans="2:2">
      <c r="B398" s="365"/>
    </row>
    <row r="399" spans="2:2">
      <c r="B399" s="365"/>
    </row>
    <row r="400" spans="2:2">
      <c r="B400" s="365"/>
    </row>
    <row r="401" spans="2:2">
      <c r="B401" s="365"/>
    </row>
    <row r="402" spans="2:2">
      <c r="B402" s="365"/>
    </row>
    <row r="403" spans="2:2">
      <c r="B403" s="365"/>
    </row>
    <row r="404" spans="2:2">
      <c r="B404" s="365"/>
    </row>
    <row r="405" spans="2:2">
      <c r="B405" s="365"/>
    </row>
    <row r="406" spans="2:2">
      <c r="B406" s="365"/>
    </row>
    <row r="407" spans="2:2">
      <c r="B407" s="365"/>
    </row>
    <row r="408" spans="2:2">
      <c r="B408" s="365"/>
    </row>
    <row r="409" spans="2:2">
      <c r="B409" s="365"/>
    </row>
    <row r="410" spans="2:2">
      <c r="B410" s="365"/>
    </row>
    <row r="411" spans="2:2">
      <c r="B411" s="365"/>
    </row>
    <row r="412" spans="2:2">
      <c r="B412" s="365"/>
    </row>
    <row r="413" spans="2:2">
      <c r="B413" s="365"/>
    </row>
    <row r="414" spans="2:2">
      <c r="B414" s="365"/>
    </row>
    <row r="415" spans="2:2">
      <c r="B415" s="365"/>
    </row>
    <row r="416" spans="2:2">
      <c r="B416" s="365"/>
    </row>
    <row r="417" spans="2:2">
      <c r="B417" s="365"/>
    </row>
    <row r="418" spans="2:2">
      <c r="B418" s="365"/>
    </row>
    <row r="419" spans="2:2">
      <c r="B419" s="365"/>
    </row>
    <row r="420" spans="2:2">
      <c r="B420" s="365"/>
    </row>
    <row r="421" spans="2:2">
      <c r="B421" s="365"/>
    </row>
    <row r="422" spans="2:2">
      <c r="B422" s="365"/>
    </row>
    <row r="423" spans="2:2">
      <c r="B423" s="365"/>
    </row>
    <row r="424" spans="2:2">
      <c r="B424" s="365"/>
    </row>
    <row r="425" spans="2:2">
      <c r="B425" s="365"/>
    </row>
    <row r="426" spans="2:2">
      <c r="B426" s="365"/>
    </row>
    <row r="427" spans="2:2">
      <c r="B427" s="365"/>
    </row>
    <row r="428" spans="2:2">
      <c r="B428" s="365"/>
    </row>
    <row r="429" spans="2:2">
      <c r="B429" s="365"/>
    </row>
    <row r="430" spans="2:2">
      <c r="B430" s="365"/>
    </row>
    <row r="431" spans="2:2">
      <c r="B431" s="365"/>
    </row>
    <row r="432" spans="2:2">
      <c r="B432" s="365"/>
    </row>
    <row r="433" spans="2:2">
      <c r="B433" s="365"/>
    </row>
    <row r="434" spans="2:2">
      <c r="B434" s="365"/>
    </row>
    <row r="435" spans="2:2">
      <c r="B435" s="365"/>
    </row>
    <row r="436" spans="2:2">
      <c r="B436" s="365"/>
    </row>
    <row r="437" spans="2:2">
      <c r="B437" s="365"/>
    </row>
    <row r="438" spans="2:2">
      <c r="B438" s="365"/>
    </row>
    <row r="439" spans="2:2">
      <c r="B439" s="365"/>
    </row>
    <row r="440" spans="2:2">
      <c r="B440" s="365"/>
    </row>
    <row r="441" spans="2:2">
      <c r="B441" s="365"/>
    </row>
    <row r="442" spans="2:2">
      <c r="B442" s="365"/>
    </row>
    <row r="443" spans="2:2">
      <c r="B443" s="365"/>
    </row>
    <row r="444" spans="2:2">
      <c r="B444" s="365"/>
    </row>
    <row r="445" spans="2:2">
      <c r="B445" s="365"/>
    </row>
    <row r="446" spans="2:2">
      <c r="B446" s="365"/>
    </row>
    <row r="447" spans="2:2">
      <c r="B447" s="365"/>
    </row>
    <row r="448" spans="2:2">
      <c r="B448" s="365"/>
    </row>
    <row r="449" spans="2:2">
      <c r="B449" s="365"/>
    </row>
    <row r="450" spans="2:2">
      <c r="B450" s="365"/>
    </row>
    <row r="451" spans="2:2">
      <c r="B451" s="365"/>
    </row>
    <row r="452" spans="2:2">
      <c r="B452" s="365"/>
    </row>
    <row r="453" spans="2:2">
      <c r="B453" s="365"/>
    </row>
    <row r="454" spans="2:2">
      <c r="B454" s="365"/>
    </row>
    <row r="455" spans="2:2">
      <c r="B455" s="365"/>
    </row>
    <row r="456" spans="2:2">
      <c r="B456" s="365"/>
    </row>
    <row r="457" spans="2:2">
      <c r="B457" s="365"/>
    </row>
    <row r="458" spans="2:2">
      <c r="B458" s="365"/>
    </row>
    <row r="459" spans="2:2">
      <c r="B459" s="365"/>
    </row>
    <row r="460" spans="2:2">
      <c r="B460" s="365"/>
    </row>
    <row r="461" spans="2:2">
      <c r="B461" s="365"/>
    </row>
    <row r="462" spans="2:2">
      <c r="B462" s="365"/>
    </row>
    <row r="463" spans="2:2">
      <c r="B463" s="365"/>
    </row>
    <row r="464" spans="2:2">
      <c r="B464" s="365"/>
    </row>
    <row r="465" spans="2:2">
      <c r="B465" s="365"/>
    </row>
    <row r="466" spans="2:2">
      <c r="B466" s="365"/>
    </row>
    <row r="467" spans="2:2">
      <c r="B467" s="365"/>
    </row>
    <row r="468" spans="2:2">
      <c r="B468" s="365"/>
    </row>
    <row r="469" spans="2:2">
      <c r="B469" s="365"/>
    </row>
    <row r="470" spans="2:2">
      <c r="B470" s="365"/>
    </row>
    <row r="471" spans="2:2">
      <c r="B471" s="365"/>
    </row>
    <row r="472" spans="2:2">
      <c r="B472" s="365"/>
    </row>
    <row r="473" spans="2:2">
      <c r="B473" s="365"/>
    </row>
    <row r="474" spans="2:2">
      <c r="B474" s="365"/>
    </row>
    <row r="475" spans="2:2">
      <c r="B475" s="365"/>
    </row>
    <row r="476" spans="2:2">
      <c r="B476" s="365"/>
    </row>
    <row r="477" spans="2:2">
      <c r="B477" s="365"/>
    </row>
    <row r="478" spans="2:2">
      <c r="B478" s="365"/>
    </row>
    <row r="479" spans="2:2">
      <c r="B479" s="365"/>
    </row>
    <row r="480" spans="2:2">
      <c r="B480" s="365"/>
    </row>
    <row r="481" spans="2:2">
      <c r="B481" s="365"/>
    </row>
    <row r="482" spans="2:2">
      <c r="B482" s="365"/>
    </row>
    <row r="483" spans="2:2">
      <c r="B483" s="365"/>
    </row>
    <row r="484" spans="2:2">
      <c r="B484" s="365"/>
    </row>
    <row r="485" spans="2:2">
      <c r="B485" s="365"/>
    </row>
    <row r="486" spans="2:2">
      <c r="B486" s="365"/>
    </row>
    <row r="487" spans="2:2">
      <c r="B487" s="365"/>
    </row>
    <row r="488" spans="2:2">
      <c r="B488" s="365"/>
    </row>
    <row r="489" spans="2:2">
      <c r="B489" s="365"/>
    </row>
    <row r="490" spans="2:2">
      <c r="B490" s="365"/>
    </row>
    <row r="491" spans="2:2">
      <c r="B491" s="365"/>
    </row>
    <row r="492" spans="2:2">
      <c r="B492" s="365"/>
    </row>
    <row r="493" spans="2:2">
      <c r="B493" s="365"/>
    </row>
    <row r="494" spans="2:2">
      <c r="B494" s="365"/>
    </row>
    <row r="495" spans="2:2">
      <c r="B495" s="365"/>
    </row>
    <row r="496" spans="2:2">
      <c r="B496" s="365"/>
    </row>
    <row r="497" spans="2:2">
      <c r="B497" s="365"/>
    </row>
    <row r="498" spans="2:2">
      <c r="B498" s="365"/>
    </row>
    <row r="499" spans="2:2">
      <c r="B499" s="365"/>
    </row>
    <row r="500" spans="2:2">
      <c r="B500" s="365"/>
    </row>
    <row r="501" spans="2:2">
      <c r="B501" s="365"/>
    </row>
    <row r="502" spans="2:2">
      <c r="B502" s="365"/>
    </row>
    <row r="503" spans="2:2">
      <c r="B503" s="365"/>
    </row>
    <row r="504" spans="2:2">
      <c r="B504" s="365"/>
    </row>
    <row r="505" spans="2:2">
      <c r="B505" s="365"/>
    </row>
    <row r="506" spans="2:2">
      <c r="B506" s="365"/>
    </row>
    <row r="507" spans="2:2">
      <c r="B507" s="365"/>
    </row>
    <row r="508" spans="2:2">
      <c r="B508" s="365"/>
    </row>
    <row r="509" spans="2:2">
      <c r="B509" s="365"/>
    </row>
    <row r="510" spans="2:2">
      <c r="B510" s="365"/>
    </row>
    <row r="511" spans="2:2">
      <c r="B511" s="365"/>
    </row>
    <row r="512" spans="2:2">
      <c r="B512" s="365"/>
    </row>
    <row r="513" spans="2:2">
      <c r="B513" s="365"/>
    </row>
    <row r="514" spans="2:2">
      <c r="B514" s="365"/>
    </row>
    <row r="515" spans="2:2">
      <c r="B515" s="365"/>
    </row>
    <row r="516" spans="2:2">
      <c r="B516" s="365"/>
    </row>
    <row r="517" spans="2:2">
      <c r="B517" s="365"/>
    </row>
    <row r="518" spans="2:2">
      <c r="B518" s="365"/>
    </row>
    <row r="519" spans="2:2">
      <c r="B519" s="365"/>
    </row>
    <row r="520" spans="2:2">
      <c r="B520" s="365"/>
    </row>
    <row r="521" spans="2:2">
      <c r="B521" s="365"/>
    </row>
    <row r="522" spans="2:2">
      <c r="B522" s="365"/>
    </row>
    <row r="523" spans="2:2">
      <c r="B523" s="365"/>
    </row>
    <row r="524" spans="2:2">
      <c r="B524" s="365"/>
    </row>
    <row r="525" spans="2:2">
      <c r="B525" s="365"/>
    </row>
    <row r="526" spans="2:2">
      <c r="B526" s="365"/>
    </row>
    <row r="527" spans="2:2">
      <c r="B527" s="365"/>
    </row>
    <row r="528" spans="2:2">
      <c r="B528" s="365"/>
    </row>
    <row r="529" spans="2:2">
      <c r="B529" s="365"/>
    </row>
    <row r="530" spans="2:2">
      <c r="B530" s="365"/>
    </row>
    <row r="531" spans="2:2">
      <c r="B531" s="365"/>
    </row>
    <row r="532" spans="2:2">
      <c r="B532" s="365"/>
    </row>
    <row r="533" spans="2:2">
      <c r="B533" s="365"/>
    </row>
    <row r="534" spans="2:2">
      <c r="B534" s="365"/>
    </row>
    <row r="535" spans="2:2">
      <c r="B535" s="365"/>
    </row>
    <row r="536" spans="2:2">
      <c r="B536" s="365"/>
    </row>
    <row r="537" spans="2:2">
      <c r="B537" s="365"/>
    </row>
    <row r="538" spans="2:2">
      <c r="B538" s="365"/>
    </row>
    <row r="539" spans="2:2">
      <c r="B539" s="365"/>
    </row>
    <row r="540" spans="2:2">
      <c r="B540" s="365"/>
    </row>
    <row r="541" spans="2:2">
      <c r="B541" s="365"/>
    </row>
    <row r="542" spans="2:2">
      <c r="B542" s="365"/>
    </row>
    <row r="543" spans="2:2">
      <c r="B543" s="365"/>
    </row>
    <row r="544" spans="2:2">
      <c r="B544" s="365"/>
    </row>
    <row r="545" spans="2:2">
      <c r="B545" s="365"/>
    </row>
    <row r="546" spans="2:2">
      <c r="B546" s="365"/>
    </row>
    <row r="547" spans="2:2">
      <c r="B547" s="365"/>
    </row>
    <row r="548" spans="2:2">
      <c r="B548" s="365"/>
    </row>
    <row r="549" spans="2:2">
      <c r="B549" s="365"/>
    </row>
    <row r="550" spans="2:2">
      <c r="B550" s="365"/>
    </row>
    <row r="551" spans="2:2">
      <c r="B551" s="365"/>
    </row>
    <row r="552" spans="2:2">
      <c r="B552" s="365"/>
    </row>
    <row r="553" spans="2:2">
      <c r="B553" s="365"/>
    </row>
    <row r="554" spans="2:2">
      <c r="B554" s="365"/>
    </row>
    <row r="555" spans="2:2">
      <c r="B555" s="365"/>
    </row>
    <row r="556" spans="2:2">
      <c r="B556" s="365"/>
    </row>
    <row r="557" spans="2:2">
      <c r="B557" s="365"/>
    </row>
    <row r="558" spans="2:2">
      <c r="B558" s="365"/>
    </row>
    <row r="559" spans="2:2">
      <c r="B559" s="365"/>
    </row>
    <row r="560" spans="2:2">
      <c r="B560" s="365"/>
    </row>
    <row r="561" spans="2:2">
      <c r="B561" s="365"/>
    </row>
    <row r="562" spans="2:2">
      <c r="B562" s="365"/>
    </row>
    <row r="563" spans="2:2">
      <c r="B563" s="365"/>
    </row>
    <row r="564" spans="2:2">
      <c r="B564" s="365"/>
    </row>
    <row r="565" spans="2:2">
      <c r="B565" s="365"/>
    </row>
    <row r="566" spans="2:2">
      <c r="B566" s="365"/>
    </row>
    <row r="567" spans="2:2">
      <c r="B567" s="365"/>
    </row>
    <row r="568" spans="2:2">
      <c r="B568" s="365"/>
    </row>
    <row r="569" spans="2:2">
      <c r="B569" s="365"/>
    </row>
    <row r="570" spans="2:2">
      <c r="B570" s="365"/>
    </row>
    <row r="571" spans="2:2">
      <c r="B571" s="365"/>
    </row>
    <row r="572" spans="2:2">
      <c r="B572" s="365"/>
    </row>
    <row r="573" spans="2:2">
      <c r="B573" s="365"/>
    </row>
    <row r="574" spans="2:2">
      <c r="B574" s="365"/>
    </row>
    <row r="575" spans="2:2">
      <c r="B575" s="365"/>
    </row>
    <row r="576" spans="2:2">
      <c r="B576" s="365"/>
    </row>
    <row r="577" spans="2:2">
      <c r="B577" s="365"/>
    </row>
    <row r="578" spans="2:2">
      <c r="B578" s="365"/>
    </row>
    <row r="579" spans="2:2">
      <c r="B579" s="365"/>
    </row>
    <row r="580" spans="2:2">
      <c r="B580" s="365"/>
    </row>
    <row r="581" spans="2:2">
      <c r="B581" s="365"/>
    </row>
    <row r="582" spans="2:2">
      <c r="B582" s="365"/>
    </row>
    <row r="583" spans="2:2">
      <c r="B583" s="365"/>
    </row>
    <row r="584" spans="2:2">
      <c r="B584" s="365"/>
    </row>
    <row r="585" spans="2:2">
      <c r="B585" s="365"/>
    </row>
    <row r="586" spans="2:2">
      <c r="B586" s="365"/>
    </row>
    <row r="587" spans="2:2">
      <c r="B587" s="365"/>
    </row>
    <row r="588" spans="2:2">
      <c r="B588" s="365"/>
    </row>
    <row r="589" spans="2:2">
      <c r="B589" s="365"/>
    </row>
    <row r="590" spans="2:2">
      <c r="B590" s="365"/>
    </row>
    <row r="591" spans="2:2">
      <c r="B591" s="365"/>
    </row>
    <row r="592" spans="2:2">
      <c r="B592" s="365"/>
    </row>
    <row r="593" spans="2:2">
      <c r="B593" s="365"/>
    </row>
    <row r="594" spans="2:2">
      <c r="B594" s="365"/>
    </row>
    <row r="595" spans="2:2">
      <c r="B595" s="365"/>
    </row>
    <row r="596" spans="2:2">
      <c r="B596" s="365"/>
    </row>
    <row r="597" spans="2:2">
      <c r="B597" s="365"/>
    </row>
    <row r="598" spans="2:2">
      <c r="B598" s="365"/>
    </row>
    <row r="599" spans="2:2">
      <c r="B599" s="365"/>
    </row>
    <row r="600" spans="2:2">
      <c r="B600" s="365"/>
    </row>
    <row r="601" spans="2:2">
      <c r="B601" s="365"/>
    </row>
    <row r="602" spans="2:2">
      <c r="B602" s="365"/>
    </row>
    <row r="603" spans="2:2">
      <c r="B603" s="365"/>
    </row>
    <row r="604" spans="2:2">
      <c r="B604" s="365"/>
    </row>
    <row r="605" spans="2:2">
      <c r="B605" s="365"/>
    </row>
    <row r="606" spans="2:2">
      <c r="B606" s="365"/>
    </row>
    <row r="607" spans="2:2">
      <c r="B607" s="365"/>
    </row>
    <row r="608" spans="2:2">
      <c r="B608" s="365"/>
    </row>
    <row r="609" spans="2:2">
      <c r="B609" s="365"/>
    </row>
    <row r="610" spans="2:2">
      <c r="B610" s="365"/>
    </row>
    <row r="611" spans="2:2">
      <c r="B611" s="365"/>
    </row>
    <row r="612" spans="2:2">
      <c r="B612" s="365"/>
    </row>
    <row r="613" spans="2:2">
      <c r="B613" s="365"/>
    </row>
    <row r="614" spans="2:2">
      <c r="B614" s="365"/>
    </row>
    <row r="615" spans="2:2">
      <c r="B615" s="365"/>
    </row>
    <row r="616" spans="2:2">
      <c r="B616" s="365"/>
    </row>
    <row r="617" spans="2:2">
      <c r="B617" s="365"/>
    </row>
    <row r="618" spans="2:2">
      <c r="B618" s="365"/>
    </row>
    <row r="619" spans="2:2">
      <c r="B619" s="365"/>
    </row>
    <row r="620" spans="2:2">
      <c r="B620" s="365"/>
    </row>
    <row r="621" spans="2:2">
      <c r="B621" s="365"/>
    </row>
    <row r="622" spans="2:2">
      <c r="B622" s="365"/>
    </row>
    <row r="623" spans="2:2">
      <c r="B623" s="365"/>
    </row>
    <row r="624" spans="2:2">
      <c r="B624" s="365"/>
    </row>
    <row r="625" spans="2:2">
      <c r="B625" s="365"/>
    </row>
    <row r="626" spans="2:2">
      <c r="B626" s="365"/>
    </row>
    <row r="627" spans="2:2">
      <c r="B627" s="365"/>
    </row>
    <row r="628" spans="2:2">
      <c r="B628" s="365"/>
    </row>
    <row r="629" spans="2:2">
      <c r="B629" s="365"/>
    </row>
    <row r="630" spans="2:2">
      <c r="B630" s="365"/>
    </row>
    <row r="631" spans="2:2">
      <c r="B631" s="365"/>
    </row>
    <row r="632" spans="2:2">
      <c r="B632" s="365"/>
    </row>
    <row r="633" spans="2:2">
      <c r="B633" s="365"/>
    </row>
    <row r="634" spans="2:2">
      <c r="B634" s="365"/>
    </row>
    <row r="635" spans="2:2">
      <c r="B635" s="365"/>
    </row>
    <row r="636" spans="2:2">
      <c r="B636" s="365"/>
    </row>
    <row r="637" spans="2:2">
      <c r="B637" s="365"/>
    </row>
    <row r="638" spans="2:2">
      <c r="B638" s="365"/>
    </row>
    <row r="639" spans="2:2">
      <c r="B639" s="365"/>
    </row>
    <row r="640" spans="2:2">
      <c r="B640" s="365"/>
    </row>
    <row r="641" spans="2:2">
      <c r="B641" s="365"/>
    </row>
    <row r="642" spans="2:2">
      <c r="B642" s="365"/>
    </row>
    <row r="643" spans="2:2">
      <c r="B643" s="365"/>
    </row>
    <row r="644" spans="2:2">
      <c r="B644" s="365"/>
    </row>
    <row r="645" spans="2:2">
      <c r="B645" s="365"/>
    </row>
    <row r="646" spans="2:2">
      <c r="B646" s="365"/>
    </row>
    <row r="647" spans="2:2">
      <c r="B647" s="365"/>
    </row>
    <row r="648" spans="2:2">
      <c r="B648" s="365"/>
    </row>
    <row r="649" spans="2:2">
      <c r="B649" s="365"/>
    </row>
    <row r="650" spans="2:2">
      <c r="B650" s="365"/>
    </row>
    <row r="651" spans="2:2">
      <c r="B651" s="365"/>
    </row>
    <row r="652" spans="2:2">
      <c r="B652" s="365"/>
    </row>
    <row r="653" spans="2:2">
      <c r="B653" s="365"/>
    </row>
    <row r="654" spans="2:2">
      <c r="B654" s="365"/>
    </row>
    <row r="655" spans="2:2">
      <c r="B655" s="365"/>
    </row>
    <row r="656" spans="2:2">
      <c r="B656" s="365"/>
    </row>
    <row r="657" spans="2:2">
      <c r="B657" s="365"/>
    </row>
    <row r="658" spans="2:2">
      <c r="B658" s="365"/>
    </row>
    <row r="659" spans="2:2">
      <c r="B659" s="365"/>
    </row>
    <row r="660" spans="2:2">
      <c r="B660" s="365"/>
    </row>
    <row r="661" spans="2:2">
      <c r="B661" s="365"/>
    </row>
    <row r="662" spans="2:2">
      <c r="B662" s="365"/>
    </row>
    <row r="663" spans="2:2">
      <c r="B663" s="365"/>
    </row>
    <row r="664" spans="2:2">
      <c r="B664" s="365"/>
    </row>
    <row r="665" spans="2:2">
      <c r="B665" s="365"/>
    </row>
    <row r="666" spans="2:2">
      <c r="B666" s="365"/>
    </row>
    <row r="667" spans="2:2">
      <c r="B667" s="365"/>
    </row>
    <row r="668" spans="2:2">
      <c r="B668" s="365"/>
    </row>
    <row r="669" spans="2:2">
      <c r="B669" s="365"/>
    </row>
    <row r="670" spans="2:2">
      <c r="B670" s="365"/>
    </row>
    <row r="671" spans="2:2">
      <c r="B671" s="365"/>
    </row>
    <row r="672" spans="2:2">
      <c r="B672" s="365"/>
    </row>
    <row r="673" spans="2:2">
      <c r="B673" s="365"/>
    </row>
    <row r="674" spans="2:2">
      <c r="B674" s="365"/>
    </row>
    <row r="675" spans="2:2">
      <c r="B675" s="365"/>
    </row>
    <row r="676" spans="2:2">
      <c r="B676" s="365"/>
    </row>
    <row r="677" spans="2:2">
      <c r="B677" s="365"/>
    </row>
    <row r="678" spans="2:2">
      <c r="B678" s="365"/>
    </row>
    <row r="679" spans="2:2">
      <c r="B679" s="365"/>
    </row>
    <row r="680" spans="2:2">
      <c r="B680" s="365"/>
    </row>
    <row r="681" spans="2:2">
      <c r="B681" s="365"/>
    </row>
    <row r="682" spans="2:2">
      <c r="B682" s="365"/>
    </row>
    <row r="683" spans="2:2">
      <c r="B683" s="365"/>
    </row>
    <row r="684" spans="2:2">
      <c r="B684" s="365"/>
    </row>
    <row r="685" spans="2:2">
      <c r="B685" s="365"/>
    </row>
    <row r="686" spans="2:2">
      <c r="B686" s="365"/>
    </row>
    <row r="687" spans="2:2">
      <c r="B687" s="365"/>
    </row>
    <row r="688" spans="2:2">
      <c r="B688" s="365"/>
    </row>
    <row r="689" spans="2:2">
      <c r="B689" s="365"/>
    </row>
    <row r="690" spans="2:2">
      <c r="B690" s="365"/>
    </row>
    <row r="691" spans="2:2">
      <c r="B691" s="365"/>
    </row>
    <row r="692" spans="2:2">
      <c r="B692" s="365"/>
    </row>
    <row r="693" spans="2:2">
      <c r="B693" s="365"/>
    </row>
    <row r="694" spans="2:2">
      <c r="B694" s="365"/>
    </row>
    <row r="695" spans="2:2">
      <c r="B695" s="365"/>
    </row>
    <row r="696" spans="2:2">
      <c r="B696" s="365"/>
    </row>
    <row r="697" spans="2:2">
      <c r="B697" s="365"/>
    </row>
    <row r="698" spans="2:2">
      <c r="B698" s="365"/>
    </row>
    <row r="699" spans="2:2">
      <c r="B699" s="365"/>
    </row>
    <row r="700" spans="2:2">
      <c r="B700" s="365"/>
    </row>
    <row r="701" spans="2:2">
      <c r="B701" s="365"/>
    </row>
    <row r="702" spans="2:2">
      <c r="B702" s="365"/>
    </row>
    <row r="703" spans="2:2">
      <c r="B703" s="365"/>
    </row>
    <row r="704" spans="2:2">
      <c r="B704" s="365"/>
    </row>
    <row r="705" spans="2:2">
      <c r="B705" s="365"/>
    </row>
    <row r="706" spans="2:2">
      <c r="B706" s="365"/>
    </row>
    <row r="707" spans="2:2">
      <c r="B707" s="365"/>
    </row>
    <row r="708" spans="2:2">
      <c r="B708" s="365"/>
    </row>
    <row r="709" spans="2:2">
      <c r="B709" s="365"/>
    </row>
    <row r="710" spans="2:2">
      <c r="B710" s="365"/>
    </row>
    <row r="711" spans="2:2">
      <c r="B711" s="365"/>
    </row>
    <row r="712" spans="2:2">
      <c r="B712" s="365"/>
    </row>
    <row r="713" spans="2:2">
      <c r="B713" s="365"/>
    </row>
    <row r="714" spans="2:2">
      <c r="B714" s="365"/>
    </row>
    <row r="715" spans="2:2">
      <c r="B715" s="365"/>
    </row>
    <row r="716" spans="2:2">
      <c r="B716" s="365"/>
    </row>
    <row r="717" spans="2:2">
      <c r="B717" s="365"/>
    </row>
    <row r="718" spans="2:2">
      <c r="B718" s="365"/>
    </row>
    <row r="719" spans="2:2">
      <c r="B719" s="365"/>
    </row>
    <row r="720" spans="2:2">
      <c r="B720" s="365"/>
    </row>
    <row r="721" spans="2:2">
      <c r="B721" s="365"/>
    </row>
    <row r="722" spans="2:2">
      <c r="B722" s="365"/>
    </row>
    <row r="723" spans="2:2">
      <c r="B723" s="365"/>
    </row>
    <row r="724" spans="2:2">
      <c r="B724" s="365"/>
    </row>
    <row r="725" spans="2:2">
      <c r="B725" s="365"/>
    </row>
    <row r="726" spans="2:2">
      <c r="B726" s="365"/>
    </row>
    <row r="727" spans="2:2">
      <c r="B727" s="365"/>
    </row>
    <row r="728" spans="2:2">
      <c r="B728" s="365"/>
    </row>
    <row r="729" spans="2:2">
      <c r="B729" s="365"/>
    </row>
    <row r="730" spans="2:2">
      <c r="B730" s="365"/>
    </row>
    <row r="731" spans="2:2">
      <c r="B731" s="365"/>
    </row>
    <row r="732" spans="2:2">
      <c r="B732" s="365"/>
    </row>
    <row r="733" spans="2:2">
      <c r="B733" s="365"/>
    </row>
    <row r="734" spans="2:2">
      <c r="B734" s="365"/>
    </row>
    <row r="735" spans="2:2">
      <c r="B735" s="365"/>
    </row>
    <row r="736" spans="2:2">
      <c r="B736" s="365"/>
    </row>
    <row r="737" spans="2:2">
      <c r="B737" s="365"/>
    </row>
    <row r="738" spans="2:2">
      <c r="B738" s="365"/>
    </row>
    <row r="739" spans="2:2">
      <c r="B739" s="365"/>
    </row>
    <row r="740" spans="2:2">
      <c r="B740" s="365"/>
    </row>
    <row r="741" spans="2:2">
      <c r="B741" s="365"/>
    </row>
    <row r="742" spans="2:2">
      <c r="B742" s="365"/>
    </row>
    <row r="743" spans="2:2">
      <c r="B743" s="365"/>
    </row>
    <row r="744" spans="2:2">
      <c r="B744" s="365"/>
    </row>
    <row r="745" spans="2:2">
      <c r="B745" s="365"/>
    </row>
    <row r="746" spans="2:2">
      <c r="B746" s="365"/>
    </row>
    <row r="747" spans="2:2">
      <c r="B747" s="365"/>
    </row>
    <row r="748" spans="2:2">
      <c r="B748" s="365"/>
    </row>
    <row r="749" spans="2:2">
      <c r="B749" s="365"/>
    </row>
    <row r="750" spans="2:2">
      <c r="B750" s="365"/>
    </row>
    <row r="751" spans="2:2">
      <c r="B751" s="365"/>
    </row>
    <row r="752" spans="2:2">
      <c r="B752" s="365"/>
    </row>
    <row r="753" spans="2:2">
      <c r="B753" s="365"/>
    </row>
    <row r="754" spans="2:2">
      <c r="B754" s="365"/>
    </row>
    <row r="755" spans="2:2">
      <c r="B755" s="365"/>
    </row>
    <row r="756" spans="2:2">
      <c r="B756" s="365"/>
    </row>
    <row r="757" spans="2:2">
      <c r="B757" s="365"/>
    </row>
    <row r="758" spans="2:2">
      <c r="B758" s="365"/>
    </row>
    <row r="759" spans="2:2">
      <c r="B759" s="365"/>
    </row>
    <row r="760" spans="2:2">
      <c r="B760" s="365"/>
    </row>
    <row r="761" spans="2:2">
      <c r="B761" s="365"/>
    </row>
    <row r="762" spans="2:2">
      <c r="B762" s="365"/>
    </row>
    <row r="763" spans="2:2">
      <c r="B763" s="365"/>
    </row>
    <row r="764" spans="2:2">
      <c r="B764" s="365"/>
    </row>
    <row r="765" spans="2:2">
      <c r="B765" s="365"/>
    </row>
    <row r="766" spans="2:2">
      <c r="B766" s="365"/>
    </row>
    <row r="767" spans="2:2">
      <c r="B767" s="365"/>
    </row>
    <row r="768" spans="2:2">
      <c r="B768" s="365"/>
    </row>
    <row r="769" spans="2:2">
      <c r="B769" s="365"/>
    </row>
    <row r="770" spans="2:2">
      <c r="B770" s="365"/>
    </row>
    <row r="771" spans="2:2">
      <c r="B771" s="365"/>
    </row>
    <row r="772" spans="2:2">
      <c r="B772" s="365"/>
    </row>
    <row r="773" spans="2:2">
      <c r="B773" s="365"/>
    </row>
    <row r="774" spans="2:2">
      <c r="B774" s="365"/>
    </row>
    <row r="775" spans="2:2">
      <c r="B775" s="365"/>
    </row>
    <row r="776" spans="2:2">
      <c r="B776" s="365"/>
    </row>
    <row r="777" spans="2:2">
      <c r="B777" s="365"/>
    </row>
    <row r="778" spans="2:2">
      <c r="B778" s="365"/>
    </row>
    <row r="779" spans="2:2">
      <c r="B779" s="365"/>
    </row>
    <row r="780" spans="2:2">
      <c r="B780" s="365"/>
    </row>
    <row r="781" spans="2:2">
      <c r="B781" s="365"/>
    </row>
    <row r="782" spans="2:2">
      <c r="B782" s="365"/>
    </row>
    <row r="783" spans="2:2">
      <c r="B783" s="365"/>
    </row>
    <row r="784" spans="2:2">
      <c r="B784" s="365"/>
    </row>
    <row r="785" spans="2:2">
      <c r="B785" s="365"/>
    </row>
    <row r="786" spans="2:2">
      <c r="B786" s="365"/>
    </row>
    <row r="787" spans="2:2">
      <c r="B787" s="365"/>
    </row>
    <row r="788" spans="2:2">
      <c r="B788" s="365"/>
    </row>
    <row r="789" spans="2:2">
      <c r="B789" s="365"/>
    </row>
    <row r="790" spans="2:2">
      <c r="B790" s="365"/>
    </row>
    <row r="791" spans="2:2">
      <c r="B791" s="365"/>
    </row>
    <row r="792" spans="2:2">
      <c r="B792" s="365"/>
    </row>
    <row r="793" spans="2:2">
      <c r="B793" s="365"/>
    </row>
    <row r="794" spans="2:2">
      <c r="B794" s="365"/>
    </row>
    <row r="795" spans="2:2">
      <c r="B795" s="365"/>
    </row>
    <row r="796" spans="2:2">
      <c r="B796" s="365"/>
    </row>
    <row r="797" spans="2:2">
      <c r="B797" s="365"/>
    </row>
    <row r="798" spans="2:2">
      <c r="B798" s="365"/>
    </row>
    <row r="799" spans="2:2">
      <c r="B799" s="365"/>
    </row>
    <row r="800" spans="2:2">
      <c r="B800" s="365"/>
    </row>
    <row r="801" spans="2:2">
      <c r="B801" s="365"/>
    </row>
    <row r="802" spans="2:2">
      <c r="B802" s="365"/>
    </row>
    <row r="803" spans="2:2">
      <c r="B803" s="365"/>
    </row>
    <row r="804" spans="2:2">
      <c r="B804" s="365"/>
    </row>
    <row r="805" spans="2:2">
      <c r="B805" s="365"/>
    </row>
    <row r="806" spans="2:2">
      <c r="B806" s="365"/>
    </row>
    <row r="807" spans="2:2">
      <c r="B807" s="365"/>
    </row>
    <row r="808" spans="2:2">
      <c r="B808" s="365"/>
    </row>
    <row r="809" spans="2:2">
      <c r="B809" s="365"/>
    </row>
    <row r="810" spans="2:2">
      <c r="B810" s="365"/>
    </row>
    <row r="811" spans="2:2">
      <c r="B811" s="365"/>
    </row>
    <row r="812" spans="2:2">
      <c r="B812" s="365"/>
    </row>
    <row r="813" spans="2:2">
      <c r="B813" s="365"/>
    </row>
    <row r="814" spans="2:2">
      <c r="B814" s="365"/>
    </row>
    <row r="815" spans="2:2">
      <c r="B815" s="365"/>
    </row>
    <row r="816" spans="2:2">
      <c r="B816" s="365"/>
    </row>
    <row r="817" spans="2:2">
      <c r="B817" s="365"/>
    </row>
    <row r="818" spans="2:2">
      <c r="B818" s="365"/>
    </row>
    <row r="819" spans="2:2">
      <c r="B819" s="365"/>
    </row>
    <row r="820" spans="2:2">
      <c r="B820" s="365"/>
    </row>
    <row r="821" spans="2:2">
      <c r="B821" s="365"/>
    </row>
    <row r="822" spans="2:2">
      <c r="B822" s="365"/>
    </row>
    <row r="823" spans="2:2">
      <c r="B823" s="365"/>
    </row>
    <row r="824" spans="2:2">
      <c r="B824" s="365"/>
    </row>
    <row r="825" spans="2:2">
      <c r="B825" s="365"/>
    </row>
    <row r="826" spans="2:2">
      <c r="B826" s="365"/>
    </row>
    <row r="827" spans="2:2">
      <c r="B827" s="365"/>
    </row>
    <row r="828" spans="2:2">
      <c r="B828" s="365"/>
    </row>
    <row r="829" spans="2:2">
      <c r="B829" s="365"/>
    </row>
    <row r="830" spans="2:2">
      <c r="B830" s="365"/>
    </row>
    <row r="831" spans="2:2">
      <c r="B831" s="365"/>
    </row>
    <row r="832" spans="2:2">
      <c r="B832" s="365"/>
    </row>
    <row r="833" spans="2:2">
      <c r="B833" s="365"/>
    </row>
    <row r="834" spans="2:2">
      <c r="B834" s="365"/>
    </row>
    <row r="835" spans="2:2" ht="14.5" customHeight="1"/>
    <row r="836" spans="2:2" ht="14.5" customHeight="1"/>
    <row r="837" spans="2:2" ht="14.5" customHeight="1"/>
    <row r="838" spans="2:2" ht="14.5" customHeight="1"/>
    <row r="839" spans="2:2" ht="14.5" customHeight="1"/>
    <row r="840" spans="2:2" ht="14.5" customHeight="1"/>
    <row r="841" spans="2:2" ht="14.5" customHeight="1"/>
    <row r="842" spans="2:2" ht="14.5" customHeight="1"/>
  </sheetData>
  <mergeCells count="39">
    <mergeCell ref="B35:I35"/>
    <mergeCell ref="M16:M17"/>
    <mergeCell ref="B37:H37"/>
    <mergeCell ref="E16:E25"/>
    <mergeCell ref="H16:H25"/>
    <mergeCell ref="L16:L17"/>
    <mergeCell ref="F16:G16"/>
    <mergeCell ref="B28:J28"/>
    <mergeCell ref="F21:G21"/>
    <mergeCell ref="F22:G22"/>
    <mergeCell ref="F23:G23"/>
    <mergeCell ref="F24:G24"/>
    <mergeCell ref="F25:G25"/>
    <mergeCell ref="A1:J1"/>
    <mergeCell ref="A2:J2"/>
    <mergeCell ref="E4:J4"/>
    <mergeCell ref="A5:J5"/>
    <mergeCell ref="A7:A37"/>
    <mergeCell ref="C14:C15"/>
    <mergeCell ref="D14:D15"/>
    <mergeCell ref="E14:E15"/>
    <mergeCell ref="B7:J7"/>
    <mergeCell ref="B8:J8"/>
    <mergeCell ref="B10:J10"/>
    <mergeCell ref="B14:B15"/>
    <mergeCell ref="A6:J6"/>
    <mergeCell ref="C26:D26"/>
    <mergeCell ref="B16:B26"/>
    <mergeCell ref="A4:D4"/>
    <mergeCell ref="H12:J12"/>
    <mergeCell ref="I14:J15"/>
    <mergeCell ref="I16:J26"/>
    <mergeCell ref="F14:G15"/>
    <mergeCell ref="B12:G12"/>
    <mergeCell ref="F17:G17"/>
    <mergeCell ref="F18:G18"/>
    <mergeCell ref="F19:G19"/>
    <mergeCell ref="F20:G20"/>
    <mergeCell ref="H14:H15"/>
  </mergeCells>
  <pageMargins left="0.511811024" right="0.511811024" top="0.78740157499999996" bottom="0.78740157499999996" header="0.31496062000000002" footer="0.31496062000000002"/>
  <pageSetup paperSize="9" scale="6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4" customWidth="1"/>
    <col min="2" max="2" width="22.7265625" style="4" customWidth="1"/>
    <col min="3" max="3" width="16.1796875" style="4" customWidth="1"/>
    <col min="4" max="4" width="8.7265625" style="4"/>
    <col min="5" max="5" width="16.453125" style="4" customWidth="1"/>
    <col min="6" max="6" width="8.7265625" style="4"/>
    <col min="7" max="7" width="14" style="4" customWidth="1"/>
    <col min="8" max="16384" width="8.7265625" style="4"/>
  </cols>
  <sheetData>
    <row r="1" spans="1:7" ht="13">
      <c r="B1" s="2" t="s">
        <v>103</v>
      </c>
      <c r="C1" s="2" t="s">
        <v>105</v>
      </c>
      <c r="D1" s="2" t="s">
        <v>104</v>
      </c>
      <c r="E1" s="2" t="s">
        <v>106</v>
      </c>
    </row>
    <row r="2" spans="1:7" ht="16.5" customHeight="1">
      <c r="A2" s="20" t="s">
        <v>97</v>
      </c>
      <c r="B2" s="21" t="s">
        <v>107</v>
      </c>
      <c r="C2" s="14">
        <f>'Servente COM Adicional'!H139</f>
        <v>1948.81</v>
      </c>
      <c r="D2" s="28">
        <v>1</v>
      </c>
      <c r="E2" s="14">
        <f>ROUND(C2*D2,2)</f>
        <v>1948.81</v>
      </c>
      <c r="G2" s="918" t="e">
        <f>SUM(E2:E17)</f>
        <v>#REF!</v>
      </c>
    </row>
    <row r="3" spans="1:7" ht="16.5" customHeight="1">
      <c r="A3" s="20" t="s">
        <v>98</v>
      </c>
      <c r="B3" s="22" t="s">
        <v>107</v>
      </c>
      <c r="C3" s="14">
        <f>C2</f>
        <v>1948.81</v>
      </c>
      <c r="D3" s="28">
        <v>1</v>
      </c>
      <c r="E3" s="14">
        <f t="shared" ref="E3:E17" si="0">ROUND(C3*D3,2)</f>
        <v>1948.81</v>
      </c>
      <c r="G3" s="919"/>
    </row>
    <row r="4" spans="1:7" ht="16.5" customHeight="1">
      <c r="A4" s="20" t="s">
        <v>99</v>
      </c>
      <c r="B4" s="22" t="s">
        <v>108</v>
      </c>
      <c r="C4" s="14" t="e">
        <f>'Servente SEM Adicional'!#REF!</f>
        <v>#REF!</v>
      </c>
      <c r="D4" s="28">
        <v>1</v>
      </c>
      <c r="E4" s="14" t="e">
        <f t="shared" si="0"/>
        <v>#REF!</v>
      </c>
      <c r="G4" s="919"/>
    </row>
    <row r="5" spans="1:7" ht="16.5" customHeight="1">
      <c r="A5" s="20" t="s">
        <v>99</v>
      </c>
      <c r="B5" s="22" t="s">
        <v>109</v>
      </c>
      <c r="C5" s="14">
        <f>'Servente COM Adicional'!I139</f>
        <v>1555.93</v>
      </c>
      <c r="D5" s="28">
        <v>1</v>
      </c>
      <c r="E5" s="14">
        <f t="shared" si="0"/>
        <v>1555.93</v>
      </c>
      <c r="G5" s="919"/>
    </row>
    <row r="6" spans="1:7" ht="16.5" customHeight="1" thickBot="1">
      <c r="A6" s="15" t="s">
        <v>52</v>
      </c>
      <c r="B6" s="22" t="s">
        <v>107</v>
      </c>
      <c r="C6" s="14">
        <f>'Servente COM Adicional'!H139</f>
        <v>1948.81</v>
      </c>
      <c r="D6" s="28">
        <v>1</v>
      </c>
      <c r="E6" s="14">
        <f t="shared" si="0"/>
        <v>1948.81</v>
      </c>
      <c r="G6" s="919"/>
    </row>
    <row r="7" spans="1:7" ht="16.5" customHeight="1" thickBot="1">
      <c r="A7" s="16" t="s">
        <v>51</v>
      </c>
      <c r="B7" s="22" t="s">
        <v>108</v>
      </c>
      <c r="C7" s="14" t="e">
        <f>'Servente SEM Adicional'!#REF!</f>
        <v>#REF!</v>
      </c>
      <c r="D7" s="28">
        <v>1</v>
      </c>
      <c r="E7" s="14" t="e">
        <f t="shared" si="0"/>
        <v>#REF!</v>
      </c>
      <c r="G7" s="919"/>
    </row>
    <row r="8" spans="1:7" ht="16.5" customHeight="1">
      <c r="A8" s="16" t="s">
        <v>51</v>
      </c>
      <c r="B8" s="22" t="s">
        <v>107</v>
      </c>
      <c r="C8" s="14">
        <f>'Servente COM Adicional'!H139</f>
        <v>1948.81</v>
      </c>
      <c r="D8" s="28">
        <v>1</v>
      </c>
      <c r="E8" s="14">
        <f t="shared" si="0"/>
        <v>1948.81</v>
      </c>
      <c r="G8" s="919"/>
    </row>
    <row r="9" spans="1:7" ht="16.5" customHeight="1">
      <c r="A9" s="20" t="s">
        <v>100</v>
      </c>
      <c r="B9" s="22" t="s">
        <v>107</v>
      </c>
      <c r="C9" s="14">
        <f>'Servente COM Adicional'!H139</f>
        <v>1948.81</v>
      </c>
      <c r="D9" s="28">
        <v>1</v>
      </c>
      <c r="E9" s="14">
        <f t="shared" si="0"/>
        <v>1948.81</v>
      </c>
      <c r="G9" s="919"/>
    </row>
    <row r="10" spans="1:7" ht="16.5" customHeight="1">
      <c r="A10" s="20" t="s">
        <v>101</v>
      </c>
      <c r="B10" s="22" t="s">
        <v>107</v>
      </c>
      <c r="C10" s="14">
        <f>'Servente COM Adicional'!H139</f>
        <v>1948.81</v>
      </c>
      <c r="D10" s="28">
        <v>1</v>
      </c>
      <c r="E10" s="14">
        <f t="shared" si="0"/>
        <v>1948.81</v>
      </c>
      <c r="G10" s="919"/>
    </row>
    <row r="11" spans="1:7" ht="16.5" customHeight="1" thickBot="1">
      <c r="A11" s="17" t="s">
        <v>102</v>
      </c>
      <c r="B11" s="22" t="s">
        <v>107</v>
      </c>
      <c r="C11" s="14">
        <f>'Servente COM Adicional'!H139</f>
        <v>1948.81</v>
      </c>
      <c r="D11" s="28">
        <v>1</v>
      </c>
      <c r="E11" s="14">
        <f t="shared" si="0"/>
        <v>1948.81</v>
      </c>
      <c r="G11" s="919"/>
    </row>
    <row r="12" spans="1:7" ht="16.5" customHeight="1" thickBot="1">
      <c r="A12" s="18" t="s">
        <v>53</v>
      </c>
      <c r="B12" s="22" t="s">
        <v>108</v>
      </c>
      <c r="C12" s="14" t="e">
        <f>'Servente SEM Adicional'!#REF!</f>
        <v>#REF!</v>
      </c>
      <c r="D12" s="28">
        <v>2</v>
      </c>
      <c r="E12" s="14" t="e">
        <f t="shared" si="0"/>
        <v>#REF!</v>
      </c>
      <c r="G12" s="919"/>
    </row>
    <row r="13" spans="1:7" ht="16.5" customHeight="1" thickBot="1">
      <c r="A13" s="18" t="s">
        <v>53</v>
      </c>
      <c r="B13" s="22" t="s">
        <v>107</v>
      </c>
      <c r="C13" s="14">
        <f>'Servente COM Adicional'!H139</f>
        <v>1948.81</v>
      </c>
      <c r="D13" s="28">
        <v>1</v>
      </c>
      <c r="E13" s="14">
        <f t="shared" si="0"/>
        <v>1948.81</v>
      </c>
      <c r="G13" s="919"/>
    </row>
    <row r="14" spans="1:7" ht="16.5" customHeight="1" thickBot="1">
      <c r="A14" s="16" t="s">
        <v>54</v>
      </c>
      <c r="B14" s="22" t="s">
        <v>108</v>
      </c>
      <c r="C14" s="14" t="e">
        <f>'Servente SEM Adicional'!#REF!</f>
        <v>#REF!</v>
      </c>
      <c r="D14" s="28">
        <v>9</v>
      </c>
      <c r="E14" s="14" t="e">
        <f t="shared" si="0"/>
        <v>#REF!</v>
      </c>
      <c r="G14" s="919"/>
    </row>
    <row r="15" spans="1:7" ht="26.15" customHeight="1" thickBot="1">
      <c r="A15" s="16" t="s">
        <v>54</v>
      </c>
      <c r="B15" s="23" t="s">
        <v>110</v>
      </c>
      <c r="C15" s="14">
        <f>'Servente COM Adicional'!J139</f>
        <v>1534.93</v>
      </c>
      <c r="D15" s="28">
        <v>1</v>
      </c>
      <c r="E15" s="14">
        <f t="shared" si="0"/>
        <v>1534.93</v>
      </c>
      <c r="G15" s="919"/>
    </row>
    <row r="16" spans="1:7" ht="29.5" customHeight="1" thickBot="1">
      <c r="A16" s="19" t="s">
        <v>55</v>
      </c>
      <c r="B16" s="22" t="s">
        <v>111</v>
      </c>
      <c r="C16" s="14">
        <f>'Servente SEM Adicional'!G138</f>
        <v>135.09</v>
      </c>
      <c r="D16" s="28">
        <v>1</v>
      </c>
      <c r="E16" s="14">
        <f t="shared" si="0"/>
        <v>135.09</v>
      </c>
      <c r="G16" s="919"/>
    </row>
    <row r="17" spans="1:7" ht="16.5" customHeight="1">
      <c r="A17" s="24" t="s">
        <v>56</v>
      </c>
      <c r="B17" s="25" t="s">
        <v>108</v>
      </c>
      <c r="C17" s="27" t="e">
        <f>'Servente SEM Adicional'!#REF!</f>
        <v>#REF!</v>
      </c>
      <c r="D17" s="28">
        <v>5</v>
      </c>
      <c r="E17" s="14" t="e">
        <f t="shared" si="0"/>
        <v>#REF!</v>
      </c>
      <c r="G17" s="919"/>
    </row>
    <row r="18" spans="1:7" ht="16.5" customHeight="1">
      <c r="A18" s="917" t="s">
        <v>112</v>
      </c>
      <c r="B18" s="917"/>
      <c r="C18" s="917"/>
      <c r="D18" s="917"/>
      <c r="E18" s="14">
        <f>'Serviços Eventuais'!M36</f>
        <v>0</v>
      </c>
      <c r="G18" s="920"/>
    </row>
    <row r="19" spans="1:7" ht="18" customHeight="1">
      <c r="A19" s="917" t="s">
        <v>96</v>
      </c>
      <c r="B19" s="917"/>
      <c r="C19" s="917"/>
      <c r="D19" s="917"/>
      <c r="E19" s="26" t="e">
        <f>SUM(E2:E18)</f>
        <v>#REF!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showGridLines="0" zoomScale="85" zoomScaleNormal="85" workbookViewId="0">
      <selection activeCell="I17" sqref="I17"/>
    </sheetView>
  </sheetViews>
  <sheetFormatPr defaultRowHeight="14.5"/>
  <cols>
    <col min="1" max="1" width="7.7265625" style="66" customWidth="1"/>
    <col min="2" max="2" width="8.453125" style="66" customWidth="1"/>
    <col min="3" max="3" width="8" style="66" customWidth="1"/>
    <col min="4" max="4" width="21" style="66" customWidth="1"/>
    <col min="5" max="5" width="8.7265625" style="66"/>
    <col min="6" max="6" width="8" style="66" customWidth="1"/>
    <col min="7" max="7" width="6.453125" style="66" customWidth="1"/>
    <col min="8" max="8" width="9.1796875" style="66" customWidth="1"/>
    <col min="9" max="10" width="13.54296875" style="66" customWidth="1"/>
    <col min="11" max="11" width="15.54296875" style="66" customWidth="1"/>
    <col min="12" max="12" width="13.26953125" style="66" customWidth="1"/>
    <col min="13" max="13" width="14.81640625" style="66" bestFit="1" customWidth="1"/>
    <col min="14" max="16384" width="8.7265625" style="66"/>
  </cols>
  <sheetData>
    <row r="1" spans="1:13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</row>
    <row r="2" spans="1:13" s="64" customFormat="1" ht="32.15" customHeight="1">
      <c r="A2" s="481" t="str">
        <f>Instruções!A2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</row>
    <row r="3" spans="1:13" s="64" customFormat="1" ht="6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</row>
    <row r="4" spans="1:13" s="64" customFormat="1" ht="17.5" customHeight="1">
      <c r="A4" s="483" t="s">
        <v>1</v>
      </c>
      <c r="B4" s="484"/>
      <c r="C4" s="484"/>
      <c r="D4" s="484"/>
      <c r="E4" s="484"/>
      <c r="F4" s="484"/>
      <c r="G4" s="484"/>
      <c r="H4" s="484"/>
      <c r="I4" s="485"/>
      <c r="J4" s="486" t="s">
        <v>337</v>
      </c>
      <c r="K4" s="487"/>
    </row>
    <row r="5" spans="1:13" s="64" customFormat="1" ht="9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s="64" customFormat="1" ht="17.5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</row>
    <row r="7" spans="1:13" ht="11.15" customHeight="1">
      <c r="A7" s="478"/>
      <c r="B7" s="478"/>
      <c r="C7" s="478"/>
      <c r="D7" s="478"/>
      <c r="E7" s="478"/>
      <c r="F7" s="478"/>
      <c r="G7" s="478"/>
      <c r="H7" s="478"/>
      <c r="I7" s="478"/>
      <c r="J7" s="478"/>
      <c r="K7" s="478"/>
    </row>
    <row r="8" spans="1:13" ht="17.5" customHeight="1">
      <c r="A8" s="479" t="s">
        <v>31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67"/>
      <c r="M8" s="67"/>
    </row>
    <row r="9" spans="1:13" ht="39.65" customHeight="1">
      <c r="A9" s="491" t="s">
        <v>32</v>
      </c>
      <c r="B9" s="491"/>
      <c r="C9" s="491"/>
      <c r="D9" s="415" t="s">
        <v>33</v>
      </c>
      <c r="E9" s="492" t="s">
        <v>34</v>
      </c>
      <c r="F9" s="492"/>
      <c r="G9" s="491" t="s">
        <v>35</v>
      </c>
      <c r="H9" s="491"/>
      <c r="I9" s="415" t="s">
        <v>36</v>
      </c>
      <c r="J9" s="415" t="s">
        <v>37</v>
      </c>
      <c r="K9" s="415" t="s">
        <v>38</v>
      </c>
    </row>
    <row r="10" spans="1:13" ht="18" customHeight="1">
      <c r="A10" s="481" t="s">
        <v>40</v>
      </c>
      <c r="B10" s="481"/>
      <c r="C10" s="481"/>
      <c r="D10" s="68" t="s">
        <v>174</v>
      </c>
      <c r="E10" s="490" t="s">
        <v>362</v>
      </c>
      <c r="F10" s="490"/>
      <c r="G10" s="490" t="s">
        <v>165</v>
      </c>
      <c r="H10" s="490"/>
      <c r="I10" s="439">
        <v>2025</v>
      </c>
      <c r="J10" s="439" t="s">
        <v>175</v>
      </c>
      <c r="K10" s="440">
        <v>1730.75</v>
      </c>
    </row>
    <row r="11" spans="1:13" ht="18" customHeight="1">
      <c r="A11" s="481"/>
      <c r="B11" s="481"/>
      <c r="C11" s="481"/>
      <c r="D11" s="68" t="s">
        <v>168</v>
      </c>
      <c r="E11" s="490" t="s">
        <v>363</v>
      </c>
      <c r="F11" s="490"/>
      <c r="G11" s="490" t="s">
        <v>165</v>
      </c>
      <c r="H11" s="490"/>
      <c r="I11" s="439">
        <v>2025</v>
      </c>
      <c r="J11" s="439" t="s">
        <v>175</v>
      </c>
      <c r="K11" s="440">
        <v>1730.75</v>
      </c>
    </row>
    <row r="12" spans="1:13" ht="18" customHeight="1">
      <c r="A12" s="481"/>
      <c r="B12" s="481"/>
      <c r="C12" s="481"/>
      <c r="D12" s="68" t="s">
        <v>164</v>
      </c>
      <c r="E12" s="490" t="s">
        <v>362</v>
      </c>
      <c r="F12" s="490"/>
      <c r="G12" s="490" t="s">
        <v>165</v>
      </c>
      <c r="H12" s="490"/>
      <c r="I12" s="439">
        <v>2025</v>
      </c>
      <c r="J12" s="439" t="s">
        <v>175</v>
      </c>
      <c r="K12" s="440">
        <v>1730.75</v>
      </c>
    </row>
    <row r="13" spans="1:13" ht="18" customHeight="1">
      <c r="A13" s="481"/>
      <c r="B13" s="481"/>
      <c r="C13" s="481"/>
      <c r="D13" s="68" t="s">
        <v>170</v>
      </c>
      <c r="E13" s="490" t="s">
        <v>363</v>
      </c>
      <c r="F13" s="490"/>
      <c r="G13" s="490" t="s">
        <v>165</v>
      </c>
      <c r="H13" s="490"/>
      <c r="I13" s="439">
        <v>2025</v>
      </c>
      <c r="J13" s="439" t="s">
        <v>175</v>
      </c>
      <c r="K13" s="440">
        <v>1730.75</v>
      </c>
    </row>
    <row r="14" spans="1:13" ht="18" customHeight="1">
      <c r="A14" s="481"/>
      <c r="B14" s="481"/>
      <c r="C14" s="481"/>
      <c r="D14" s="68" t="s">
        <v>171</v>
      </c>
      <c r="E14" s="490" t="s">
        <v>362</v>
      </c>
      <c r="F14" s="490"/>
      <c r="G14" s="490" t="s">
        <v>165</v>
      </c>
      <c r="H14" s="490"/>
      <c r="I14" s="439">
        <v>2025</v>
      </c>
      <c r="J14" s="439" t="s">
        <v>175</v>
      </c>
      <c r="K14" s="440">
        <v>1730.75</v>
      </c>
    </row>
    <row r="15" spans="1:13" ht="18" customHeight="1">
      <c r="A15" s="481"/>
      <c r="B15" s="481"/>
      <c r="C15" s="481"/>
      <c r="D15" s="68" t="s">
        <v>169</v>
      </c>
      <c r="E15" s="493" t="s">
        <v>361</v>
      </c>
      <c r="F15" s="494"/>
      <c r="G15" s="490" t="s">
        <v>165</v>
      </c>
      <c r="H15" s="490"/>
      <c r="I15" s="439">
        <v>2025</v>
      </c>
      <c r="J15" s="439" t="s">
        <v>175</v>
      </c>
      <c r="K15" s="440">
        <v>1730.75</v>
      </c>
    </row>
    <row r="16" spans="1:13" ht="18.5" customHeight="1">
      <c r="A16" s="481"/>
      <c r="B16" s="481"/>
      <c r="C16" s="481"/>
      <c r="D16" s="68" t="s">
        <v>166</v>
      </c>
      <c r="E16" s="490" t="s">
        <v>364</v>
      </c>
      <c r="F16" s="490"/>
      <c r="G16" s="490" t="s">
        <v>165</v>
      </c>
      <c r="H16" s="490"/>
      <c r="I16" s="439">
        <v>2025</v>
      </c>
      <c r="J16" s="439" t="s">
        <v>175</v>
      </c>
      <c r="K16" s="440">
        <v>1730.75</v>
      </c>
    </row>
    <row r="17" spans="1:12" ht="18.5" customHeight="1">
      <c r="A17" s="481"/>
      <c r="B17" s="481"/>
      <c r="C17" s="481"/>
      <c r="D17" s="68" t="s">
        <v>172</v>
      </c>
      <c r="E17" s="490" t="s">
        <v>364</v>
      </c>
      <c r="F17" s="490"/>
      <c r="G17" s="490" t="s">
        <v>165</v>
      </c>
      <c r="H17" s="490"/>
      <c r="I17" s="439">
        <v>2025</v>
      </c>
      <c r="J17" s="439" t="s">
        <v>175</v>
      </c>
      <c r="K17" s="440">
        <v>1730.75</v>
      </c>
    </row>
    <row r="18" spans="1:12" ht="18.5" customHeight="1">
      <c r="A18" s="481"/>
      <c r="B18" s="481"/>
      <c r="C18" s="481"/>
      <c r="D18" s="68" t="s">
        <v>173</v>
      </c>
      <c r="E18" s="490" t="s">
        <v>364</v>
      </c>
      <c r="F18" s="490"/>
      <c r="G18" s="490" t="s">
        <v>165</v>
      </c>
      <c r="H18" s="490"/>
      <c r="I18" s="439">
        <v>2025</v>
      </c>
      <c r="J18" s="439" t="s">
        <v>175</v>
      </c>
      <c r="K18" s="440">
        <v>1730.75</v>
      </c>
    </row>
    <row r="19" spans="1:12" ht="18.5" customHeight="1">
      <c r="A19" s="481" t="s">
        <v>39</v>
      </c>
      <c r="B19" s="481"/>
      <c r="C19" s="481"/>
      <c r="D19" s="68" t="s">
        <v>167</v>
      </c>
      <c r="E19" s="490" t="s">
        <v>362</v>
      </c>
      <c r="F19" s="490"/>
      <c r="G19" s="490" t="s">
        <v>165</v>
      </c>
      <c r="H19" s="490"/>
      <c r="I19" s="439">
        <v>2025</v>
      </c>
      <c r="J19" s="439" t="s">
        <v>175</v>
      </c>
      <c r="K19" s="440">
        <v>1730.75</v>
      </c>
    </row>
    <row r="20" spans="1:12" ht="18.5" customHeight="1">
      <c r="A20" s="481"/>
      <c r="B20" s="481"/>
      <c r="C20" s="481"/>
      <c r="D20" s="68" t="s">
        <v>172</v>
      </c>
      <c r="E20" s="490" t="s">
        <v>364</v>
      </c>
      <c r="F20" s="490"/>
      <c r="G20" s="490" t="s">
        <v>165</v>
      </c>
      <c r="H20" s="490"/>
      <c r="I20" s="439">
        <v>2025</v>
      </c>
      <c r="J20" s="439" t="s">
        <v>175</v>
      </c>
      <c r="K20" s="440">
        <v>1730.75</v>
      </c>
    </row>
    <row r="21" spans="1:12" ht="18.5" customHeight="1">
      <c r="A21" s="481"/>
      <c r="B21" s="481"/>
      <c r="C21" s="481"/>
      <c r="D21" s="68" t="s">
        <v>173</v>
      </c>
      <c r="E21" s="490" t="s">
        <v>364</v>
      </c>
      <c r="F21" s="490"/>
      <c r="G21" s="490" t="s">
        <v>165</v>
      </c>
      <c r="H21" s="490"/>
      <c r="I21" s="439">
        <v>2025</v>
      </c>
      <c r="J21" s="439" t="s">
        <v>175</v>
      </c>
      <c r="K21" s="440">
        <v>1730.75</v>
      </c>
      <c r="L21" s="69"/>
    </row>
  </sheetData>
  <mergeCells count="37">
    <mergeCell ref="E17:F17"/>
    <mergeCell ref="G17:H17"/>
    <mergeCell ref="E18:F18"/>
    <mergeCell ref="G18:H18"/>
    <mergeCell ref="A19:C21"/>
    <mergeCell ref="E19:F19"/>
    <mergeCell ref="G19:H19"/>
    <mergeCell ref="E20:F20"/>
    <mergeCell ref="G20:H20"/>
    <mergeCell ref="E21:F21"/>
    <mergeCell ref="G21:H21"/>
    <mergeCell ref="G14:H14"/>
    <mergeCell ref="E15:F15"/>
    <mergeCell ref="G15:H15"/>
    <mergeCell ref="E16:F16"/>
    <mergeCell ref="G16:H16"/>
    <mergeCell ref="G12:H12"/>
    <mergeCell ref="A8:K8"/>
    <mergeCell ref="J4:K4"/>
    <mergeCell ref="A6:K6"/>
    <mergeCell ref="A7:K7"/>
    <mergeCell ref="G9:H9"/>
    <mergeCell ref="G10:H10"/>
    <mergeCell ref="E9:F9"/>
    <mergeCell ref="G11:H11"/>
    <mergeCell ref="A9:C9"/>
    <mergeCell ref="E11:F11"/>
    <mergeCell ref="E12:F12"/>
    <mergeCell ref="A10:C18"/>
    <mergeCell ref="E13:F13"/>
    <mergeCell ref="G13:H13"/>
    <mergeCell ref="E14:F14"/>
    <mergeCell ref="A1:K1"/>
    <mergeCell ref="A2:K2"/>
    <mergeCell ref="A3:K3"/>
    <mergeCell ref="A4:I4"/>
    <mergeCell ref="E10:F10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1"/>
  <sheetViews>
    <sheetView showGridLines="0" zoomScale="85" zoomScaleNormal="85" workbookViewId="0">
      <selection activeCell="A42" sqref="A42:K43"/>
    </sheetView>
  </sheetViews>
  <sheetFormatPr defaultRowHeight="14.5"/>
  <cols>
    <col min="1" max="1" width="11.26953125" style="66" customWidth="1"/>
    <col min="2" max="2" width="8.7265625" style="66"/>
    <col min="3" max="4" width="9.81640625" style="66" customWidth="1"/>
    <col min="5" max="5" width="8.7265625" style="66"/>
    <col min="6" max="6" width="11.81640625" style="66" customWidth="1"/>
    <col min="7" max="8" width="14.54296875" style="66" customWidth="1"/>
    <col min="9" max="10" width="12.1796875" style="66" customWidth="1"/>
    <col min="11" max="11" width="19.1796875" style="66" customWidth="1"/>
    <col min="12" max="16384" width="8.7265625" style="66"/>
  </cols>
  <sheetData>
    <row r="1" spans="1:12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</row>
    <row r="2" spans="1:12" s="64" customFormat="1" ht="32.15" customHeight="1">
      <c r="A2" s="481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</row>
    <row r="3" spans="1:12" s="64" customFormat="1" ht="6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</row>
    <row r="4" spans="1:12" s="64" customFormat="1" ht="19.5" customHeight="1">
      <c r="A4" s="483" t="s">
        <v>1</v>
      </c>
      <c r="B4" s="484"/>
      <c r="C4" s="484"/>
      <c r="D4" s="484"/>
      <c r="E4" s="484"/>
      <c r="F4" s="484"/>
      <c r="G4" s="484"/>
      <c r="H4" s="484"/>
      <c r="I4" s="485"/>
      <c r="J4" s="486" t="s">
        <v>337</v>
      </c>
      <c r="K4" s="487"/>
    </row>
    <row r="5" spans="1:12" s="64" customFormat="1" ht="9" customHeight="1"/>
    <row r="6" spans="1:12" s="64" customFormat="1" ht="19.5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</row>
    <row r="7" spans="1:12" ht="11.15" customHeight="1">
      <c r="A7" s="527"/>
      <c r="B7" s="527"/>
      <c r="C7" s="527"/>
      <c r="D7" s="527"/>
      <c r="E7" s="527"/>
      <c r="F7" s="527"/>
      <c r="G7" s="527"/>
      <c r="H7" s="527"/>
      <c r="I7" s="527"/>
      <c r="J7" s="527"/>
      <c r="K7" s="527"/>
    </row>
    <row r="8" spans="1:12" ht="8.5" customHeight="1"/>
    <row r="9" spans="1:12" ht="22.5" customHeight="1">
      <c r="A9" s="530" t="s">
        <v>349</v>
      </c>
      <c r="B9" s="531"/>
      <c r="C9" s="531"/>
      <c r="D9" s="531"/>
      <c r="E9" s="531"/>
      <c r="F9" s="531"/>
      <c r="G9" s="531"/>
      <c r="H9" s="532"/>
      <c r="I9" s="528">
        <v>60</v>
      </c>
      <c r="J9" s="529"/>
      <c r="K9" s="529"/>
      <c r="L9" s="70"/>
    </row>
    <row r="10" spans="1:12" ht="8.5" customHeight="1"/>
    <row r="11" spans="1:12" ht="22" customHeight="1">
      <c r="A11" s="479" t="s">
        <v>9</v>
      </c>
      <c r="B11" s="479"/>
      <c r="C11" s="479"/>
      <c r="D11" s="479"/>
      <c r="E11" s="479"/>
      <c r="F11" s="479"/>
      <c r="G11" s="479"/>
      <c r="H11" s="479"/>
      <c r="I11" s="479"/>
      <c r="J11" s="479"/>
      <c r="K11" s="479"/>
      <c r="L11" s="35"/>
    </row>
    <row r="12" spans="1:12" ht="18.5" customHeight="1">
      <c r="A12" s="71"/>
      <c r="B12" s="72"/>
      <c r="C12" s="72"/>
      <c r="D12" s="72"/>
      <c r="E12" s="72"/>
      <c r="F12" s="72"/>
      <c r="G12" s="72"/>
      <c r="H12" s="72"/>
      <c r="I12" s="72"/>
      <c r="J12" s="72"/>
      <c r="K12" s="416" t="s">
        <v>7</v>
      </c>
      <c r="L12" s="73"/>
    </row>
    <row r="13" spans="1:12" ht="19.5" customHeight="1">
      <c r="A13" s="524" t="s">
        <v>66</v>
      </c>
      <c r="B13" s="525"/>
      <c r="C13" s="525"/>
      <c r="D13" s="525"/>
      <c r="E13" s="525"/>
      <c r="F13" s="525"/>
      <c r="G13" s="525"/>
      <c r="H13" s="525"/>
      <c r="I13" s="525"/>
      <c r="J13" s="526"/>
      <c r="K13" s="43">
        <v>21</v>
      </c>
      <c r="L13" s="74"/>
    </row>
    <row r="14" spans="1:12" ht="6.65" customHeight="1" thickBot="1">
      <c r="A14" s="75"/>
      <c r="B14" s="76"/>
      <c r="C14" s="76"/>
      <c r="D14" s="76"/>
      <c r="E14" s="76"/>
      <c r="F14" s="76"/>
      <c r="G14" s="76"/>
      <c r="H14" s="76"/>
      <c r="I14" s="76"/>
      <c r="J14" s="76"/>
      <c r="K14" s="76"/>
    </row>
    <row r="15" spans="1:12" ht="44.15" customHeight="1" thickBot="1">
      <c r="A15" s="495" t="s">
        <v>176</v>
      </c>
      <c r="B15" s="496"/>
      <c r="C15" s="497" t="s">
        <v>177</v>
      </c>
      <c r="D15" s="498"/>
      <c r="E15" s="498"/>
      <c r="F15" s="499"/>
      <c r="G15" s="497" t="s">
        <v>504</v>
      </c>
      <c r="H15" s="498"/>
      <c r="I15" s="498"/>
      <c r="J15" s="499"/>
      <c r="K15" s="417" t="s">
        <v>178</v>
      </c>
    </row>
    <row r="16" spans="1:12" ht="79" customHeight="1">
      <c r="A16" s="512" t="s">
        <v>167</v>
      </c>
      <c r="B16" s="513"/>
      <c r="C16" s="514" t="s">
        <v>505</v>
      </c>
      <c r="D16" s="515"/>
      <c r="E16" s="516"/>
      <c r="F16" s="441">
        <v>25</v>
      </c>
      <c r="G16" s="520" t="s">
        <v>12</v>
      </c>
      <c r="H16" s="521"/>
      <c r="I16" s="522">
        <v>6.35</v>
      </c>
      <c r="J16" s="523"/>
      <c r="K16" s="534">
        <v>21.6</v>
      </c>
    </row>
    <row r="17" spans="1:11" ht="18.649999999999999" customHeight="1" thickBot="1">
      <c r="A17" s="500"/>
      <c r="B17" s="501"/>
      <c r="C17" s="77" t="s">
        <v>179</v>
      </c>
      <c r="D17" s="78"/>
      <c r="E17" s="78"/>
      <c r="F17" s="79">
        <f>ROUND(0.1*F16,2)</f>
        <v>2.5</v>
      </c>
      <c r="G17" s="524" t="s">
        <v>11</v>
      </c>
      <c r="H17" s="526"/>
      <c r="I17" s="544">
        <v>2</v>
      </c>
      <c r="J17" s="545"/>
      <c r="K17" s="543"/>
    </row>
    <row r="18" spans="1:11" ht="71.5" customHeight="1">
      <c r="A18" s="512" t="s">
        <v>168</v>
      </c>
      <c r="B18" s="517"/>
      <c r="C18" s="514" t="s">
        <v>505</v>
      </c>
      <c r="D18" s="515"/>
      <c r="E18" s="516"/>
      <c r="F18" s="441">
        <v>25</v>
      </c>
      <c r="G18" s="520" t="s">
        <v>12</v>
      </c>
      <c r="H18" s="521"/>
      <c r="I18" s="522">
        <v>5.5</v>
      </c>
      <c r="J18" s="523"/>
      <c r="K18" s="548">
        <v>21.6</v>
      </c>
    </row>
    <row r="19" spans="1:11" ht="18.75" customHeight="1" thickBot="1">
      <c r="A19" s="518"/>
      <c r="B19" s="519"/>
      <c r="C19" s="80" t="s">
        <v>179</v>
      </c>
      <c r="D19" s="81"/>
      <c r="E19" s="82"/>
      <c r="F19" s="79">
        <f>ROUND(0.1*F18,2)</f>
        <v>2.5</v>
      </c>
      <c r="G19" s="536" t="s">
        <v>11</v>
      </c>
      <c r="H19" s="537"/>
      <c r="I19" s="538">
        <v>2</v>
      </c>
      <c r="J19" s="539"/>
      <c r="K19" s="549"/>
    </row>
    <row r="20" spans="1:11" ht="68.150000000000006" customHeight="1">
      <c r="A20" s="500" t="s">
        <v>164</v>
      </c>
      <c r="B20" s="501"/>
      <c r="C20" s="502" t="s">
        <v>505</v>
      </c>
      <c r="D20" s="503"/>
      <c r="E20" s="504"/>
      <c r="F20" s="442">
        <v>25</v>
      </c>
      <c r="G20" s="505" t="s">
        <v>12</v>
      </c>
      <c r="H20" s="506"/>
      <c r="I20" s="507">
        <v>5</v>
      </c>
      <c r="J20" s="507"/>
      <c r="K20" s="540">
        <v>21.6</v>
      </c>
    </row>
    <row r="21" spans="1:11" ht="18.649999999999999" customHeight="1" thickBot="1">
      <c r="A21" s="500"/>
      <c r="B21" s="501"/>
      <c r="C21" s="83" t="s">
        <v>179</v>
      </c>
      <c r="D21" s="84"/>
      <c r="E21" s="85"/>
      <c r="F21" s="79">
        <f>ROUND(0.1*F20,2)</f>
        <v>2.5</v>
      </c>
      <c r="G21" s="508" t="s">
        <v>11</v>
      </c>
      <c r="H21" s="509"/>
      <c r="I21" s="510">
        <v>2</v>
      </c>
      <c r="J21" s="511"/>
      <c r="K21" s="540"/>
    </row>
    <row r="22" spans="1:11" ht="69.650000000000006" customHeight="1">
      <c r="A22" s="512" t="s">
        <v>170</v>
      </c>
      <c r="B22" s="517"/>
      <c r="C22" s="514" t="s">
        <v>505</v>
      </c>
      <c r="D22" s="515"/>
      <c r="E22" s="516"/>
      <c r="F22" s="441">
        <v>25</v>
      </c>
      <c r="G22" s="520" t="s">
        <v>12</v>
      </c>
      <c r="H22" s="521"/>
      <c r="I22" s="522">
        <v>5.6</v>
      </c>
      <c r="J22" s="523"/>
      <c r="K22" s="548">
        <v>21.6</v>
      </c>
    </row>
    <row r="23" spans="1:11" ht="18.75" customHeight="1" thickBot="1">
      <c r="A23" s="518"/>
      <c r="B23" s="519"/>
      <c r="C23" s="80" t="s">
        <v>179</v>
      </c>
      <c r="D23" s="81"/>
      <c r="E23" s="82"/>
      <c r="F23" s="79">
        <f>ROUND(0.1*F22,2)</f>
        <v>2.5</v>
      </c>
      <c r="G23" s="536" t="s">
        <v>11</v>
      </c>
      <c r="H23" s="537"/>
      <c r="I23" s="538">
        <v>2</v>
      </c>
      <c r="J23" s="539"/>
      <c r="K23" s="549"/>
    </row>
    <row r="24" spans="1:11" ht="71.150000000000006" customHeight="1">
      <c r="A24" s="512" t="s">
        <v>171</v>
      </c>
      <c r="B24" s="513"/>
      <c r="C24" s="514" t="s">
        <v>505</v>
      </c>
      <c r="D24" s="515"/>
      <c r="E24" s="516"/>
      <c r="F24" s="441">
        <v>25</v>
      </c>
      <c r="G24" s="520" t="s">
        <v>12</v>
      </c>
      <c r="H24" s="521"/>
      <c r="I24" s="522">
        <v>4.3499999999999996</v>
      </c>
      <c r="J24" s="523"/>
      <c r="K24" s="534">
        <v>21.6</v>
      </c>
    </row>
    <row r="25" spans="1:11" ht="18.649999999999999" customHeight="1" thickBot="1">
      <c r="A25" s="518"/>
      <c r="B25" s="533"/>
      <c r="C25" s="80" t="s">
        <v>179</v>
      </c>
      <c r="D25" s="86"/>
      <c r="E25" s="87"/>
      <c r="F25" s="79">
        <f>ROUND(0.1*F24,2)</f>
        <v>2.5</v>
      </c>
      <c r="G25" s="536" t="s">
        <v>11</v>
      </c>
      <c r="H25" s="537"/>
      <c r="I25" s="538">
        <v>2</v>
      </c>
      <c r="J25" s="539"/>
      <c r="K25" s="535"/>
    </row>
    <row r="26" spans="1:11" ht="70" customHeight="1">
      <c r="A26" s="512" t="s">
        <v>180</v>
      </c>
      <c r="B26" s="513"/>
      <c r="C26" s="514" t="s">
        <v>505</v>
      </c>
      <c r="D26" s="515"/>
      <c r="E26" s="516"/>
      <c r="F26" s="441">
        <v>25</v>
      </c>
      <c r="G26" s="520" t="s">
        <v>12</v>
      </c>
      <c r="H26" s="521"/>
      <c r="I26" s="522">
        <v>5</v>
      </c>
      <c r="J26" s="523"/>
      <c r="K26" s="548">
        <v>21.6</v>
      </c>
    </row>
    <row r="27" spans="1:11" ht="18.75" customHeight="1" thickBot="1">
      <c r="A27" s="518"/>
      <c r="B27" s="533"/>
      <c r="C27" s="80" t="s">
        <v>179</v>
      </c>
      <c r="D27" s="81"/>
      <c r="E27" s="82"/>
      <c r="F27" s="79">
        <f>ROUND(0.1*F26,2)</f>
        <v>2.5</v>
      </c>
      <c r="G27" s="536" t="s">
        <v>11</v>
      </c>
      <c r="H27" s="537"/>
      <c r="I27" s="538">
        <v>2</v>
      </c>
      <c r="J27" s="539"/>
      <c r="K27" s="549"/>
    </row>
    <row r="28" spans="1:11" ht="64.5" customHeight="1">
      <c r="A28" s="546" t="s">
        <v>166</v>
      </c>
      <c r="B28" s="547"/>
      <c r="C28" s="502" t="s">
        <v>506</v>
      </c>
      <c r="D28" s="503"/>
      <c r="E28" s="504"/>
      <c r="F28" s="442">
        <v>25</v>
      </c>
      <c r="G28" s="520" t="s">
        <v>12</v>
      </c>
      <c r="H28" s="521"/>
      <c r="I28" s="541">
        <v>5</v>
      </c>
      <c r="J28" s="542"/>
      <c r="K28" s="543">
        <v>21.6</v>
      </c>
    </row>
    <row r="29" spans="1:11" ht="18.649999999999999" customHeight="1" thickBot="1">
      <c r="A29" s="546"/>
      <c r="B29" s="547"/>
      <c r="C29" s="83" t="s">
        <v>179</v>
      </c>
      <c r="D29" s="88"/>
      <c r="E29" s="89"/>
      <c r="F29" s="79">
        <f>ROUND(0.1*F28,2)</f>
        <v>2.5</v>
      </c>
      <c r="G29" s="524" t="s">
        <v>11</v>
      </c>
      <c r="H29" s="526"/>
      <c r="I29" s="544">
        <v>2</v>
      </c>
      <c r="J29" s="545"/>
      <c r="K29" s="543"/>
    </row>
    <row r="30" spans="1:11" ht="70" customHeight="1">
      <c r="A30" s="550" t="s">
        <v>181</v>
      </c>
      <c r="B30" s="551"/>
      <c r="C30" s="514" t="s">
        <v>505</v>
      </c>
      <c r="D30" s="515"/>
      <c r="E30" s="516"/>
      <c r="F30" s="441">
        <v>25</v>
      </c>
      <c r="G30" s="520" t="s">
        <v>12</v>
      </c>
      <c r="H30" s="521"/>
      <c r="I30" s="522">
        <v>3.5</v>
      </c>
      <c r="J30" s="523"/>
      <c r="K30" s="534">
        <v>21.6</v>
      </c>
    </row>
    <row r="31" spans="1:11" ht="18.649999999999999" customHeight="1" thickBot="1">
      <c r="A31" s="546"/>
      <c r="B31" s="552"/>
      <c r="C31" s="83" t="s">
        <v>179</v>
      </c>
      <c r="D31" s="88"/>
      <c r="E31" s="89"/>
      <c r="F31" s="79">
        <f>ROUND(0.1*F30,2)</f>
        <v>2.5</v>
      </c>
      <c r="G31" s="508" t="s">
        <v>11</v>
      </c>
      <c r="H31" s="509"/>
      <c r="I31" s="510">
        <v>2</v>
      </c>
      <c r="J31" s="511"/>
      <c r="K31" s="543"/>
    </row>
    <row r="32" spans="1:11" ht="70" customHeight="1">
      <c r="A32" s="550" t="s">
        <v>173</v>
      </c>
      <c r="B32" s="570"/>
      <c r="C32" s="514" t="s">
        <v>505</v>
      </c>
      <c r="D32" s="515"/>
      <c r="E32" s="516"/>
      <c r="F32" s="441">
        <v>25</v>
      </c>
      <c r="G32" s="520" t="s">
        <v>12</v>
      </c>
      <c r="H32" s="521"/>
      <c r="I32" s="522">
        <v>1</v>
      </c>
      <c r="J32" s="523"/>
      <c r="K32" s="534">
        <v>21.6</v>
      </c>
    </row>
    <row r="33" spans="1:12" ht="18.649999999999999" customHeight="1" thickBot="1">
      <c r="A33" s="571"/>
      <c r="B33" s="572"/>
      <c r="C33" s="80" t="s">
        <v>179</v>
      </c>
      <c r="D33" s="90"/>
      <c r="E33" s="91"/>
      <c r="F33" s="79">
        <f>ROUND(0.1*F32,2)</f>
        <v>2.5</v>
      </c>
      <c r="G33" s="536" t="s">
        <v>11</v>
      </c>
      <c r="H33" s="537"/>
      <c r="I33" s="538">
        <v>2</v>
      </c>
      <c r="J33" s="539"/>
      <c r="K33" s="535"/>
    </row>
    <row r="34" spans="1:12" ht="6" customHeight="1">
      <c r="A34" s="92"/>
      <c r="B34" s="92"/>
      <c r="C34" s="93"/>
      <c r="D34" s="93"/>
      <c r="E34" s="93"/>
      <c r="F34" s="94"/>
      <c r="G34" s="94"/>
      <c r="H34" s="94"/>
      <c r="I34" s="94"/>
      <c r="J34" s="94"/>
      <c r="K34" s="94"/>
      <c r="L34" s="95"/>
    </row>
    <row r="35" spans="1:12" ht="18.649999999999999" customHeight="1">
      <c r="A35" s="556"/>
      <c r="B35" s="557"/>
      <c r="C35" s="557"/>
      <c r="D35" s="557"/>
      <c r="E35" s="557"/>
      <c r="F35" s="557"/>
      <c r="G35" s="557"/>
      <c r="H35" s="557"/>
      <c r="I35" s="557"/>
      <c r="J35" s="557"/>
      <c r="K35" s="558"/>
    </row>
    <row r="36" spans="1:12" ht="18.75" customHeight="1">
      <c r="A36" s="559" t="s">
        <v>24</v>
      </c>
      <c r="B36" s="560"/>
      <c r="C36" s="560"/>
      <c r="D36" s="560"/>
      <c r="E36" s="560"/>
      <c r="F36" s="560"/>
      <c r="G36" s="560"/>
      <c r="H36" s="560"/>
      <c r="I36" s="560"/>
      <c r="J36" s="560"/>
      <c r="K36" s="561"/>
    </row>
    <row r="37" spans="1:12" ht="32.15" customHeight="1">
      <c r="A37" s="562" t="s">
        <v>507</v>
      </c>
      <c r="B37" s="563"/>
      <c r="C37" s="563"/>
      <c r="D37" s="563"/>
      <c r="E37" s="563"/>
      <c r="F37" s="563"/>
      <c r="G37" s="563"/>
      <c r="H37" s="563"/>
      <c r="I37" s="563"/>
      <c r="J37" s="564"/>
      <c r="K37" s="443">
        <v>5.9299999999999999E-2</v>
      </c>
    </row>
    <row r="38" spans="1:12" ht="18.649999999999999" customHeight="1">
      <c r="A38" s="565" t="s">
        <v>25</v>
      </c>
      <c r="B38" s="566"/>
      <c r="C38" s="566"/>
      <c r="D38" s="566"/>
      <c r="E38" s="566"/>
      <c r="F38" s="566"/>
      <c r="G38" s="566"/>
      <c r="H38" s="566"/>
      <c r="I38" s="566"/>
      <c r="J38" s="567"/>
      <c r="K38" s="443">
        <v>0.06</v>
      </c>
    </row>
    <row r="39" spans="1:12" ht="18.75" customHeight="1">
      <c r="A39" s="565" t="s">
        <v>26</v>
      </c>
      <c r="B39" s="566"/>
      <c r="C39" s="566"/>
      <c r="D39" s="567"/>
      <c r="E39" s="568" t="s">
        <v>27</v>
      </c>
      <c r="F39" s="569"/>
      <c r="G39" s="524" t="s">
        <v>28</v>
      </c>
      <c r="H39" s="525"/>
      <c r="I39" s="525"/>
      <c r="J39" s="526"/>
      <c r="K39" s="444"/>
    </row>
    <row r="40" spans="1:12" ht="18.75" customHeight="1">
      <c r="A40" s="565" t="s">
        <v>29</v>
      </c>
      <c r="B40" s="566"/>
      <c r="C40" s="566"/>
      <c r="D40" s="566"/>
      <c r="E40" s="566"/>
      <c r="F40" s="566"/>
      <c r="G40" s="566"/>
      <c r="H40" s="566"/>
      <c r="I40" s="566"/>
      <c r="J40" s="567"/>
      <c r="K40" s="436">
        <f>IF(E39="Lucro Real",0.0165,IF(E39="Lucro Presumido",0.0065,VLOOKUP(K39,'Anexo IV da LC - OCULTAR'!A12:H20,7,1)))</f>
        <v>1.6500000000000001E-2</v>
      </c>
    </row>
    <row r="41" spans="1:12" ht="18.5" customHeight="1">
      <c r="A41" s="565" t="s">
        <v>30</v>
      </c>
      <c r="B41" s="566"/>
      <c r="C41" s="566"/>
      <c r="D41" s="566"/>
      <c r="E41" s="566"/>
      <c r="F41" s="566"/>
      <c r="G41" s="566"/>
      <c r="H41" s="566"/>
      <c r="I41" s="566"/>
      <c r="J41" s="567"/>
      <c r="K41" s="436">
        <f>IF(E39="Lucro Real",0.076,IF(E39="Lucro Presumido",0.03,VLOOKUP(K39,'Anexo IV da LC - OCULTAR'!A12:H20,6,1)))</f>
        <v>7.5999999999999998E-2</v>
      </c>
    </row>
    <row r="42" spans="1:12" ht="18.75" customHeight="1">
      <c r="A42" s="553" t="s">
        <v>86</v>
      </c>
      <c r="B42" s="554"/>
      <c r="C42" s="554"/>
      <c r="D42" s="554"/>
      <c r="E42" s="554"/>
      <c r="F42" s="554"/>
      <c r="G42" s="554"/>
      <c r="H42" s="554"/>
      <c r="I42" s="554"/>
      <c r="J42" s="555"/>
      <c r="K42" s="445"/>
    </row>
    <row r="43" spans="1:12" ht="18.75" customHeight="1">
      <c r="A43" s="553" t="s">
        <v>87</v>
      </c>
      <c r="B43" s="554"/>
      <c r="C43" s="554"/>
      <c r="D43" s="554"/>
      <c r="E43" s="554"/>
      <c r="F43" s="554"/>
      <c r="G43" s="554"/>
      <c r="H43" s="554"/>
      <c r="I43" s="554"/>
      <c r="J43" s="555"/>
      <c r="K43" s="445"/>
    </row>
    <row r="44" spans="1:12" ht="17.5" customHeight="1">
      <c r="A44" s="565" t="s">
        <v>186</v>
      </c>
      <c r="B44" s="566"/>
      <c r="C44" s="566"/>
      <c r="D44" s="566"/>
      <c r="E44" s="566"/>
      <c r="F44" s="566"/>
      <c r="G44" s="578"/>
      <c r="H44" s="578"/>
      <c r="I44" s="578"/>
      <c r="J44" s="579"/>
      <c r="K44" s="96">
        <f>IF($E$39="Lucro Real",5%,IF($E$39="Lucro Presumido",5%,VLOOKUP($K$39,'Anexo IV da LC - OCULTAR'!$A$11:$H$22,8,1)))</f>
        <v>0.05</v>
      </c>
    </row>
    <row r="45" spans="1:12" ht="18.75" customHeight="1">
      <c r="A45" s="573" t="s">
        <v>187</v>
      </c>
      <c r="B45" s="574"/>
      <c r="C45" s="574"/>
      <c r="D45" s="574"/>
      <c r="E45" s="574"/>
      <c r="F45" s="574"/>
      <c r="G45" s="574"/>
      <c r="H45" s="574"/>
      <c r="I45" s="574"/>
      <c r="J45" s="575"/>
      <c r="K45" s="97">
        <f>SUM(K44,$K$43,$K$42,$K$41,$K$40)</f>
        <v>0.14249999999999999</v>
      </c>
    </row>
    <row r="46" spans="1:12" ht="17.5" customHeight="1">
      <c r="A46" s="576" t="s">
        <v>188</v>
      </c>
      <c r="B46" s="577"/>
      <c r="C46" s="577"/>
      <c r="D46" s="577"/>
      <c r="E46" s="577"/>
      <c r="F46" s="577"/>
      <c r="G46" s="578"/>
      <c r="H46" s="578"/>
      <c r="I46" s="578"/>
      <c r="J46" s="579"/>
      <c r="K46" s="96">
        <f>IF($E$39="Lucro Real",5%,IF($E$39="Lucro Presumido",5%,VLOOKUP($K$39,'Anexo IV da LC - OCULTAR'!$A$11:$H$22,8,1)))</f>
        <v>0.05</v>
      </c>
    </row>
    <row r="47" spans="1:12" ht="18.75" customHeight="1">
      <c r="A47" s="573" t="s">
        <v>189</v>
      </c>
      <c r="B47" s="574"/>
      <c r="C47" s="574"/>
      <c r="D47" s="574"/>
      <c r="E47" s="574"/>
      <c r="F47" s="574"/>
      <c r="G47" s="574"/>
      <c r="H47" s="574"/>
      <c r="I47" s="574"/>
      <c r="J47" s="575"/>
      <c r="K47" s="97">
        <f>SUM(K46,$K$43,$K$42,$K$41,$K$40)</f>
        <v>0.14249999999999999</v>
      </c>
    </row>
    <row r="48" spans="1:12" ht="18.75" customHeight="1">
      <c r="A48" s="576" t="s">
        <v>182</v>
      </c>
      <c r="B48" s="577"/>
      <c r="C48" s="577"/>
      <c r="D48" s="577"/>
      <c r="E48" s="577"/>
      <c r="F48" s="577"/>
      <c r="G48" s="578"/>
      <c r="H48" s="578"/>
      <c r="I48" s="578"/>
      <c r="J48" s="579"/>
      <c r="K48" s="96">
        <f>IF($E$39="Lucro Real",5%,IF($E$39="Lucro Presumido",5%,VLOOKUP($K$39,'Anexo IV da LC - OCULTAR'!$A$11:$H$22,8,1)))</f>
        <v>0.05</v>
      </c>
    </row>
    <row r="49" spans="1:12" ht="18.75" customHeight="1">
      <c r="A49" s="573" t="s">
        <v>183</v>
      </c>
      <c r="B49" s="574"/>
      <c r="C49" s="574"/>
      <c r="D49" s="574"/>
      <c r="E49" s="574"/>
      <c r="F49" s="574"/>
      <c r="G49" s="574"/>
      <c r="H49" s="574"/>
      <c r="I49" s="574"/>
      <c r="J49" s="575"/>
      <c r="K49" s="97">
        <f>SUM(K40,K41,K42,K43,K48)</f>
        <v>0.14249999999999999</v>
      </c>
    </row>
    <row r="50" spans="1:12" ht="17.5" customHeight="1">
      <c r="A50" s="565" t="s">
        <v>192</v>
      </c>
      <c r="B50" s="566"/>
      <c r="C50" s="566"/>
      <c r="D50" s="566"/>
      <c r="E50" s="566"/>
      <c r="F50" s="566"/>
      <c r="G50" s="578"/>
      <c r="H50" s="578"/>
      <c r="I50" s="578"/>
      <c r="J50" s="579"/>
      <c r="K50" s="96">
        <f>IF($E$39="Lucro Real",5%,IF($E$39="Lucro Presumido",5%,VLOOKUP($K$39,'Anexo IV da LC - OCULTAR'!$A$11:$H$22,8,1)))</f>
        <v>0.05</v>
      </c>
    </row>
    <row r="51" spans="1:12" ht="18.75" customHeight="1">
      <c r="A51" s="573" t="s">
        <v>193</v>
      </c>
      <c r="B51" s="574"/>
      <c r="C51" s="574"/>
      <c r="D51" s="574"/>
      <c r="E51" s="574"/>
      <c r="F51" s="574"/>
      <c r="G51" s="574"/>
      <c r="H51" s="574"/>
      <c r="I51" s="574"/>
      <c r="J51" s="575"/>
      <c r="K51" s="97">
        <f>SUM(K50,$K$43,$K$42,$K$41,$K$40)</f>
        <v>0.14249999999999999</v>
      </c>
    </row>
    <row r="52" spans="1:12" ht="17.5" customHeight="1">
      <c r="A52" s="576" t="s">
        <v>194</v>
      </c>
      <c r="B52" s="577"/>
      <c r="C52" s="577"/>
      <c r="D52" s="577"/>
      <c r="E52" s="577"/>
      <c r="F52" s="577"/>
      <c r="G52" s="578"/>
      <c r="H52" s="578"/>
      <c r="I52" s="578"/>
      <c r="J52" s="579"/>
      <c r="K52" s="96">
        <f>IF($E$39="Lucro Real",5%,IF($E$39="Lucro Presumido",5%,VLOOKUP($K$39,'Anexo IV da LC - OCULTAR'!$A$11:$H$22,8,1)))</f>
        <v>0.05</v>
      </c>
    </row>
    <row r="53" spans="1:12" ht="18.75" customHeight="1">
      <c r="A53" s="573" t="s">
        <v>195</v>
      </c>
      <c r="B53" s="574"/>
      <c r="C53" s="574"/>
      <c r="D53" s="574"/>
      <c r="E53" s="574"/>
      <c r="F53" s="574"/>
      <c r="G53" s="574"/>
      <c r="H53" s="574"/>
      <c r="I53" s="574"/>
      <c r="J53" s="575"/>
      <c r="K53" s="97">
        <f>SUM(K52,$K$43,$K$42,$K$41,$K$40)</f>
        <v>0.14249999999999999</v>
      </c>
    </row>
    <row r="54" spans="1:12" ht="17.5" customHeight="1">
      <c r="A54" s="576" t="s">
        <v>190</v>
      </c>
      <c r="B54" s="577"/>
      <c r="C54" s="577"/>
      <c r="D54" s="577"/>
      <c r="E54" s="577"/>
      <c r="F54" s="577"/>
      <c r="G54" s="578"/>
      <c r="H54" s="578"/>
      <c r="I54" s="578"/>
      <c r="J54" s="579"/>
      <c r="K54" s="96">
        <f>IF($E$39="Lucro Real",2%,IF($E$39="Lucro Presumido",2%,VLOOKUP($K$39,'Anexo IV da LC - OCULTAR'!$A$11:$H$22,8,1)))</f>
        <v>0.02</v>
      </c>
    </row>
    <row r="55" spans="1:12" ht="18.75" customHeight="1">
      <c r="A55" s="573" t="s">
        <v>191</v>
      </c>
      <c r="B55" s="574"/>
      <c r="C55" s="574"/>
      <c r="D55" s="574"/>
      <c r="E55" s="574"/>
      <c r="F55" s="574"/>
      <c r="G55" s="574"/>
      <c r="H55" s="574"/>
      <c r="I55" s="574"/>
      <c r="J55" s="575"/>
      <c r="K55" s="97">
        <f>SUM(K54,$K$43,$K$42,$K$41,$K$40)</f>
        <v>0.1125</v>
      </c>
    </row>
    <row r="56" spans="1:12" ht="18.75" customHeight="1">
      <c r="A56" s="565" t="s">
        <v>184</v>
      </c>
      <c r="B56" s="566"/>
      <c r="C56" s="566"/>
      <c r="D56" s="566"/>
      <c r="E56" s="566"/>
      <c r="F56" s="566"/>
      <c r="G56" s="578"/>
      <c r="H56" s="578"/>
      <c r="I56" s="578"/>
      <c r="J56" s="579"/>
      <c r="K56" s="96">
        <f>IF($E$39="Lucro Real",5%,IF($E$39="Lucro Presumido",5%,VLOOKUP($K$39,'Anexo IV da LC - OCULTAR'!$A$11:$H$22,8,1)))</f>
        <v>0.05</v>
      </c>
    </row>
    <row r="57" spans="1:12" ht="18.75" customHeight="1">
      <c r="A57" s="573" t="s">
        <v>185</v>
      </c>
      <c r="B57" s="574"/>
      <c r="C57" s="574"/>
      <c r="D57" s="574"/>
      <c r="E57" s="574"/>
      <c r="F57" s="574"/>
      <c r="G57" s="574"/>
      <c r="H57" s="574"/>
      <c r="I57" s="574"/>
      <c r="J57" s="575"/>
      <c r="K57" s="97">
        <f>SUM(K56,K40,K41,K42,K43)</f>
        <v>0.14249999999999999</v>
      </c>
    </row>
    <row r="58" spans="1:12" ht="17.5" customHeight="1">
      <c r="A58" s="576" t="s">
        <v>196</v>
      </c>
      <c r="B58" s="577"/>
      <c r="C58" s="577"/>
      <c r="D58" s="577"/>
      <c r="E58" s="577"/>
      <c r="F58" s="577"/>
      <c r="G58" s="578"/>
      <c r="H58" s="578"/>
      <c r="I58" s="578"/>
      <c r="J58" s="579"/>
      <c r="K58" s="96">
        <f>IF($E$39="Lucro Real",5%,IF($E$39="Lucro Presumido",5%,VLOOKUP($K$39,'Anexo IV da LC - OCULTAR'!$A$11:$H$22,8,1)))</f>
        <v>0.05</v>
      </c>
    </row>
    <row r="59" spans="1:12" ht="18.75" customHeight="1">
      <c r="A59" s="573" t="s">
        <v>197</v>
      </c>
      <c r="B59" s="574"/>
      <c r="C59" s="574"/>
      <c r="D59" s="574"/>
      <c r="E59" s="574"/>
      <c r="F59" s="574"/>
      <c r="G59" s="574"/>
      <c r="H59" s="574"/>
      <c r="I59" s="574"/>
      <c r="J59" s="575"/>
      <c r="K59" s="97">
        <f>SUM(K58,$K$43,$K$42,$K$41,$K$40)</f>
        <v>0.14249999999999999</v>
      </c>
    </row>
    <row r="60" spans="1:12" ht="17.5" customHeight="1">
      <c r="A60" s="576" t="s">
        <v>198</v>
      </c>
      <c r="B60" s="577"/>
      <c r="C60" s="577"/>
      <c r="D60" s="577"/>
      <c r="E60" s="577"/>
      <c r="F60" s="577"/>
      <c r="G60" s="578"/>
      <c r="H60" s="578"/>
      <c r="I60" s="578"/>
      <c r="J60" s="579"/>
      <c r="K60" s="96">
        <f>IF($E$39="Lucro Real",4%,IF($E$39="Lucro Presumido",4%,VLOOKUP($K$39,'Anexo IV da LC - OCULTAR'!$A$11:$H$22,8,1)))</f>
        <v>0.04</v>
      </c>
    </row>
    <row r="61" spans="1:12" ht="18.75" customHeight="1">
      <c r="A61" s="580" t="s">
        <v>199</v>
      </c>
      <c r="B61" s="581"/>
      <c r="C61" s="581"/>
      <c r="D61" s="581"/>
      <c r="E61" s="581"/>
      <c r="F61" s="581"/>
      <c r="G61" s="581"/>
      <c r="H61" s="581"/>
      <c r="I61" s="581"/>
      <c r="J61" s="582"/>
      <c r="K61" s="97">
        <f>SUM(K60,$K$43,$K$42,$K$41,$K$40)</f>
        <v>0.13250000000000001</v>
      </c>
      <c r="L61" s="69"/>
    </row>
  </sheetData>
  <mergeCells count="115">
    <mergeCell ref="A59:J59"/>
    <mergeCell ref="A60:F60"/>
    <mergeCell ref="G60:J60"/>
    <mergeCell ref="A61:J61"/>
    <mergeCell ref="A51:J51"/>
    <mergeCell ref="A52:F52"/>
    <mergeCell ref="G52:J52"/>
    <mergeCell ref="A53:J53"/>
    <mergeCell ref="A58:F58"/>
    <mergeCell ref="G58:J58"/>
    <mergeCell ref="A47:J47"/>
    <mergeCell ref="A54:F54"/>
    <mergeCell ref="G54:J54"/>
    <mergeCell ref="A55:J55"/>
    <mergeCell ref="A50:F50"/>
    <mergeCell ref="G50:J50"/>
    <mergeCell ref="A57:J57"/>
    <mergeCell ref="A44:F44"/>
    <mergeCell ref="G44:J44"/>
    <mergeCell ref="A45:J45"/>
    <mergeCell ref="A46:F46"/>
    <mergeCell ref="G46:J46"/>
    <mergeCell ref="A48:F48"/>
    <mergeCell ref="G48:J48"/>
    <mergeCell ref="A49:J49"/>
    <mergeCell ref="A56:F56"/>
    <mergeCell ref="G56:J56"/>
    <mergeCell ref="A30:B31"/>
    <mergeCell ref="A43:J43"/>
    <mergeCell ref="A35:K35"/>
    <mergeCell ref="A36:K36"/>
    <mergeCell ref="A37:J37"/>
    <mergeCell ref="A38:J38"/>
    <mergeCell ref="A39:D39"/>
    <mergeCell ref="E39:F39"/>
    <mergeCell ref="G39:J39"/>
    <mergeCell ref="A40:J40"/>
    <mergeCell ref="A41:J41"/>
    <mergeCell ref="A42:J42"/>
    <mergeCell ref="A32:B33"/>
    <mergeCell ref="C32:E32"/>
    <mergeCell ref="G32:H32"/>
    <mergeCell ref="I32:J32"/>
    <mergeCell ref="K32:K33"/>
    <mergeCell ref="G33:H33"/>
    <mergeCell ref="I33:J33"/>
    <mergeCell ref="C30:E30"/>
    <mergeCell ref="G30:H30"/>
    <mergeCell ref="I30:J30"/>
    <mergeCell ref="K30:K31"/>
    <mergeCell ref="G31:H31"/>
    <mergeCell ref="I31:J31"/>
    <mergeCell ref="G16:H16"/>
    <mergeCell ref="I16:J16"/>
    <mergeCell ref="G22:H22"/>
    <mergeCell ref="I22:J22"/>
    <mergeCell ref="K22:K23"/>
    <mergeCell ref="G23:H23"/>
    <mergeCell ref="I23:J23"/>
    <mergeCell ref="K16:K17"/>
    <mergeCell ref="G17:H17"/>
    <mergeCell ref="I17:J17"/>
    <mergeCell ref="K18:K19"/>
    <mergeCell ref="G19:H19"/>
    <mergeCell ref="I19:J19"/>
    <mergeCell ref="G26:H26"/>
    <mergeCell ref="I26:J26"/>
    <mergeCell ref="K26:K27"/>
    <mergeCell ref="G27:H27"/>
    <mergeCell ref="C28:E28"/>
    <mergeCell ref="G28:H28"/>
    <mergeCell ref="I28:J28"/>
    <mergeCell ref="A26:B27"/>
    <mergeCell ref="C26:E26"/>
    <mergeCell ref="I27:J27"/>
    <mergeCell ref="K28:K29"/>
    <mergeCell ref="G29:H29"/>
    <mergeCell ref="I29:J29"/>
    <mergeCell ref="A28:B29"/>
    <mergeCell ref="A24:B25"/>
    <mergeCell ref="C24:E24"/>
    <mergeCell ref="G24:H24"/>
    <mergeCell ref="I24:J24"/>
    <mergeCell ref="K24:K25"/>
    <mergeCell ref="G25:H25"/>
    <mergeCell ref="I25:J25"/>
    <mergeCell ref="K20:K21"/>
    <mergeCell ref="A22:B23"/>
    <mergeCell ref="C22:E22"/>
    <mergeCell ref="A1:K1"/>
    <mergeCell ref="A2:K2"/>
    <mergeCell ref="J4:K4"/>
    <mergeCell ref="A3:K3"/>
    <mergeCell ref="A4:I4"/>
    <mergeCell ref="A13:J13"/>
    <mergeCell ref="A6:K6"/>
    <mergeCell ref="A7:K7"/>
    <mergeCell ref="A11:K11"/>
    <mergeCell ref="I9:K9"/>
    <mergeCell ref="A9:H9"/>
    <mergeCell ref="A15:B15"/>
    <mergeCell ref="C15:F15"/>
    <mergeCell ref="G15:J15"/>
    <mergeCell ref="A20:B21"/>
    <mergeCell ref="C20:E20"/>
    <mergeCell ref="G20:H20"/>
    <mergeCell ref="I20:J20"/>
    <mergeCell ref="G21:H21"/>
    <mergeCell ref="I21:J21"/>
    <mergeCell ref="A16:B17"/>
    <mergeCell ref="C16:E16"/>
    <mergeCell ref="A18:B19"/>
    <mergeCell ref="C18:E18"/>
    <mergeCell ref="G18:H18"/>
    <mergeCell ref="I18:J18"/>
  </mergeCells>
  <dataValidations count="1">
    <dataValidation type="list" operator="equal" allowBlank="1" showInputMessage="1" showErrorMessage="1" sqref="E39" xr:uid="{7485D6E4-0C49-4CB3-ADA4-5E3F9C08C1ED}">
      <formula1>"Lucro Real,Lucro Presumido,Simples Nacional"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workbookViewId="0">
      <selection activeCell="J4" sqref="J4:J10"/>
    </sheetView>
  </sheetViews>
  <sheetFormatPr defaultColWidth="8.7265625" defaultRowHeight="14.5"/>
  <cols>
    <col min="1" max="1" width="17.7265625" style="3" customWidth="1"/>
    <col min="2" max="2" width="18.1796875" style="3" customWidth="1"/>
    <col min="3" max="3" width="10.54296875" style="3" customWidth="1"/>
    <col min="4" max="7" width="8.7265625" style="3"/>
    <col min="8" max="8" width="9.54296875" style="3" customWidth="1"/>
    <col min="9" max="9" width="17.453125" style="3" customWidth="1"/>
    <col min="10" max="10" width="14.453125" style="3" customWidth="1"/>
    <col min="11" max="16384" width="8.7265625" style="3"/>
  </cols>
  <sheetData>
    <row r="1" spans="1:17" ht="15" customHeight="1">
      <c r="A1" s="583" t="s">
        <v>67</v>
      </c>
      <c r="B1" s="583"/>
      <c r="C1" s="583"/>
      <c r="D1" s="583"/>
      <c r="E1" s="583"/>
      <c r="F1" s="583"/>
      <c r="G1" s="583"/>
      <c r="H1" s="583"/>
      <c r="I1" s="5"/>
      <c r="J1" s="5"/>
      <c r="K1" s="6"/>
      <c r="L1" s="6"/>
    </row>
    <row r="2" spans="1:17" ht="28.5" customHeight="1">
      <c r="A2" s="584" t="s">
        <v>68</v>
      </c>
      <c r="B2" s="584"/>
      <c r="C2" s="584"/>
      <c r="D2" s="584"/>
      <c r="E2" s="584"/>
      <c r="F2" s="584"/>
      <c r="G2" s="584"/>
      <c r="H2" s="584"/>
      <c r="I2" s="5"/>
      <c r="J2" s="5"/>
      <c r="K2" s="6"/>
      <c r="L2" s="6"/>
    </row>
    <row r="3" spans="1:17" ht="29">
      <c r="A3" s="585" t="s">
        <v>69</v>
      </c>
      <c r="B3" s="585"/>
      <c r="C3" s="7" t="s">
        <v>8</v>
      </c>
      <c r="D3" s="7" t="s">
        <v>70</v>
      </c>
      <c r="E3" s="7" t="s">
        <v>71</v>
      </c>
      <c r="F3" s="7" t="s">
        <v>72</v>
      </c>
      <c r="G3" s="7" t="s">
        <v>73</v>
      </c>
      <c r="H3" s="7" t="s">
        <v>74</v>
      </c>
      <c r="I3" s="7" t="s">
        <v>75</v>
      </c>
      <c r="J3" s="7" t="s">
        <v>76</v>
      </c>
      <c r="K3" s="8" t="s">
        <v>77</v>
      </c>
      <c r="L3" s="6"/>
      <c r="Q3" s="9"/>
    </row>
    <row r="4" spans="1:17">
      <c r="A4" s="10">
        <v>0</v>
      </c>
      <c r="B4" s="10">
        <v>180000</v>
      </c>
      <c r="C4" s="11">
        <v>4.4999999999999998E-2</v>
      </c>
      <c r="D4" s="11">
        <f>0.188*C4</f>
        <v>8.5000000000000006E-3</v>
      </c>
      <c r="E4" s="11">
        <f>0.152*C4</f>
        <v>6.7999999999999996E-3</v>
      </c>
      <c r="F4" s="11">
        <f>0.1767*C4</f>
        <v>8.0000000000000002E-3</v>
      </c>
      <c r="G4" s="11">
        <f>0.0383*C4</f>
        <v>1.6999999999999999E-3</v>
      </c>
      <c r="H4" s="11">
        <f>0.445*C4</f>
        <v>0.02</v>
      </c>
      <c r="I4" s="10">
        <v>0</v>
      </c>
      <c r="J4" s="31" t="e">
        <f>(('Benefícios e Outros Dados'!$K$39*C4)-I4)/'Benefícios e Outros Dados'!$K$39</f>
        <v>#DIV/0!</v>
      </c>
      <c r="K4" s="12" t="s">
        <v>78</v>
      </c>
      <c r="L4" s="13">
        <f t="shared" ref="L4:L10" si="0">SUM(D4:H4)</f>
        <v>4.4999999999999998E-2</v>
      </c>
    </row>
    <row r="5" spans="1:17">
      <c r="A5" s="10">
        <v>180000.01</v>
      </c>
      <c r="B5" s="10">
        <v>360000</v>
      </c>
      <c r="C5" s="11">
        <v>0.09</v>
      </c>
      <c r="D5" s="11">
        <f>0.198*C5</f>
        <v>1.78E-2</v>
      </c>
      <c r="E5" s="11">
        <f>0.152*C5</f>
        <v>1.37E-2</v>
      </c>
      <c r="F5" s="11">
        <f>0.2055*C5</f>
        <v>1.8499999999999999E-2</v>
      </c>
      <c r="G5" s="11">
        <f>0.0445*C5</f>
        <v>4.0000000000000001E-3</v>
      </c>
      <c r="H5" s="11">
        <f>0.4*C5</f>
        <v>3.5999999999999997E-2</v>
      </c>
      <c r="I5" s="10">
        <v>8100</v>
      </c>
      <c r="J5" s="31" t="e">
        <f>(('Benefícios e Outros Dados'!$K$39*C5)-I5)/'Benefícios e Outros Dados'!$K$39</f>
        <v>#DIV/0!</v>
      </c>
      <c r="K5" s="12" t="s">
        <v>79</v>
      </c>
      <c r="L5" s="13">
        <f t="shared" si="0"/>
        <v>0.09</v>
      </c>
    </row>
    <row r="6" spans="1:17">
      <c r="A6" s="10">
        <v>360000.01</v>
      </c>
      <c r="B6" s="10">
        <v>720000</v>
      </c>
      <c r="C6" s="11">
        <v>0.10199999999999999</v>
      </c>
      <c r="D6" s="11">
        <f>0.208*C6</f>
        <v>2.12E-2</v>
      </c>
      <c r="E6" s="11">
        <f>0.152*C6</f>
        <v>1.55E-2</v>
      </c>
      <c r="F6" s="11">
        <f>0.1973*C6</f>
        <v>2.01E-2</v>
      </c>
      <c r="G6" s="11">
        <f>0.0427*C6</f>
        <v>4.4000000000000003E-3</v>
      </c>
      <c r="H6" s="11">
        <f>0.4*C6</f>
        <v>4.0800000000000003E-2</v>
      </c>
      <c r="I6" s="10">
        <v>12420</v>
      </c>
      <c r="J6" s="31" t="e">
        <f>(('Benefícios e Outros Dados'!$K$39*C6)-I6)/'Benefícios e Outros Dados'!$K$39</f>
        <v>#DIV/0!</v>
      </c>
      <c r="K6" s="12" t="s">
        <v>80</v>
      </c>
      <c r="L6" s="13">
        <f t="shared" si="0"/>
        <v>0.10199999999999999</v>
      </c>
    </row>
    <row r="7" spans="1:17">
      <c r="A7" s="10">
        <v>720000.01</v>
      </c>
      <c r="B7" s="10">
        <v>1800000</v>
      </c>
      <c r="C7" s="11">
        <v>0.14000000000000001</v>
      </c>
      <c r="D7" s="11">
        <f>0.178*C7</f>
        <v>2.4899999999999999E-2</v>
      </c>
      <c r="E7" s="11">
        <f>0.192*C7</f>
        <v>2.69E-2</v>
      </c>
      <c r="F7" s="11">
        <f>0.189*C7</f>
        <v>2.6499999999999999E-2</v>
      </c>
      <c r="G7" s="11">
        <f>0.041*C7</f>
        <v>5.7000000000000002E-3</v>
      </c>
      <c r="H7" s="11">
        <f>0.4*C7</f>
        <v>5.6000000000000001E-2</v>
      </c>
      <c r="I7" s="10">
        <v>39780</v>
      </c>
      <c r="J7" s="31" t="e">
        <f>(('Benefícios e Outros Dados'!$K$39*C7)-I7)/'Benefícios e Outros Dados'!$K$39</f>
        <v>#DIV/0!</v>
      </c>
      <c r="K7" s="12" t="s">
        <v>81</v>
      </c>
      <c r="L7" s="13">
        <f t="shared" si="0"/>
        <v>0.14000000000000001</v>
      </c>
    </row>
    <row r="8" spans="1:17">
      <c r="A8" s="10">
        <v>1800001</v>
      </c>
      <c r="B8" s="10">
        <v>1939999</v>
      </c>
      <c r="C8" s="11">
        <v>0.22</v>
      </c>
      <c r="D8" s="11">
        <f>0.188*C8</f>
        <v>4.1399999999999999E-2</v>
      </c>
      <c r="E8" s="11">
        <f>0.192*C8</f>
        <v>4.2200000000000001E-2</v>
      </c>
      <c r="F8" s="11">
        <f>0.1808*C8</f>
        <v>3.9800000000000002E-2</v>
      </c>
      <c r="G8" s="11">
        <f>0.0392*C8</f>
        <v>8.6E-3</v>
      </c>
      <c r="H8" s="11">
        <f>0.4*C8</f>
        <v>8.7999999999999995E-2</v>
      </c>
      <c r="I8" s="10">
        <v>183780</v>
      </c>
      <c r="J8" s="31" t="e">
        <f>(('Benefícios e Outros Dados'!$K$39*C8)-I8)/'Benefícios e Outros Dados'!$K$39</f>
        <v>#DIV/0!</v>
      </c>
      <c r="K8" s="12" t="s">
        <v>82</v>
      </c>
      <c r="L8" s="13">
        <f t="shared" si="0"/>
        <v>0.22</v>
      </c>
    </row>
    <row r="9" spans="1:17">
      <c r="A9" s="10">
        <v>1940000</v>
      </c>
      <c r="B9" s="10">
        <v>3600000</v>
      </c>
      <c r="C9" s="11">
        <v>0.22</v>
      </c>
      <c r="D9" s="11">
        <f>0.188*C9</f>
        <v>4.1399999999999999E-2</v>
      </c>
      <c r="E9" s="11">
        <f>0.192*C9</f>
        <v>4.2200000000000001E-2</v>
      </c>
      <c r="F9" s="11">
        <f>0.1808*C9</f>
        <v>3.9800000000000002E-2</v>
      </c>
      <c r="G9" s="11">
        <f>0.0392*C9</f>
        <v>8.6E-3</v>
      </c>
      <c r="H9" s="11">
        <f>0.4*C9</f>
        <v>8.7999999999999995E-2</v>
      </c>
      <c r="I9" s="10">
        <v>183780</v>
      </c>
      <c r="J9" s="31" t="e">
        <f>(('Benefícios e Outros Dados'!$K$39*C9)-I9)/'Benefícios e Outros Dados'!$K$39</f>
        <v>#DIV/0!</v>
      </c>
      <c r="K9" s="12" t="s">
        <v>83</v>
      </c>
      <c r="L9" s="13">
        <f t="shared" si="0"/>
        <v>0.22</v>
      </c>
    </row>
    <row r="10" spans="1:17">
      <c r="A10" s="10">
        <v>3600000.01</v>
      </c>
      <c r="B10" s="10">
        <v>4800000</v>
      </c>
      <c r="C10" s="11">
        <v>0.33</v>
      </c>
      <c r="D10" s="11">
        <f>0.535*C10</f>
        <v>0.17660000000000001</v>
      </c>
      <c r="E10" s="11">
        <f>0.215*C10</f>
        <v>7.0999999999999994E-2</v>
      </c>
      <c r="F10" s="11">
        <f>0.2055*C10</f>
        <v>6.7799999999999999E-2</v>
      </c>
      <c r="G10" s="11">
        <f>0.0445*C10</f>
        <v>1.47E-2</v>
      </c>
      <c r="H10" s="11">
        <v>0</v>
      </c>
      <c r="I10" s="10">
        <v>828000</v>
      </c>
      <c r="J10" s="31" t="e">
        <f>(('Benefícios e Outros Dados'!$K$39*C10)-I10)/'Benefícios e Outros Dados'!$K$39</f>
        <v>#DIV/0!</v>
      </c>
      <c r="K10" s="12" t="s">
        <v>84</v>
      </c>
      <c r="L10" s="13">
        <f t="shared" si="0"/>
        <v>0.3301</v>
      </c>
    </row>
    <row r="11" spans="1:17">
      <c r="A11" s="10"/>
      <c r="B11" s="10"/>
      <c r="C11" s="11"/>
      <c r="D11" s="11"/>
      <c r="E11" s="11"/>
      <c r="F11" s="11"/>
      <c r="G11" s="11"/>
      <c r="H11" s="11"/>
      <c r="I11" s="12"/>
      <c r="J11" s="12"/>
      <c r="K11" s="6"/>
      <c r="L11" s="6"/>
    </row>
    <row r="12" spans="1:17" ht="29">
      <c r="A12" s="585" t="s">
        <v>69</v>
      </c>
      <c r="B12" s="585"/>
      <c r="C12" s="7" t="s">
        <v>85</v>
      </c>
      <c r="D12" s="7" t="s">
        <v>70</v>
      </c>
      <c r="E12" s="7" t="s">
        <v>71</v>
      </c>
      <c r="F12" s="7" t="s">
        <v>72</v>
      </c>
      <c r="G12" s="7" t="s">
        <v>73</v>
      </c>
      <c r="H12" s="7" t="s">
        <v>74</v>
      </c>
      <c r="I12" s="8" t="s">
        <v>77</v>
      </c>
      <c r="J12" s="12"/>
      <c r="K12" s="6"/>
      <c r="L12" s="6"/>
    </row>
    <row r="13" spans="1:17">
      <c r="A13" s="10">
        <v>0</v>
      </c>
      <c r="B13" s="10">
        <v>180000</v>
      </c>
      <c r="C13" s="11" t="e">
        <f t="shared" ref="C13:C19" si="1">J4</f>
        <v>#DIV/0!</v>
      </c>
      <c r="D13" s="11" t="e">
        <f>0.188*C13</f>
        <v>#DIV/0!</v>
      </c>
      <c r="E13" s="11" t="e">
        <f>0.152*C13</f>
        <v>#DIV/0!</v>
      </c>
      <c r="F13" s="11" t="e">
        <f>0.1767*C13</f>
        <v>#DIV/0!</v>
      </c>
      <c r="G13" s="11" t="e">
        <f>0.0383*C13</f>
        <v>#DIV/0!</v>
      </c>
      <c r="H13" s="11" t="e">
        <f>0.445*C13</f>
        <v>#DIV/0!</v>
      </c>
      <c r="I13" s="12" t="s">
        <v>78</v>
      </c>
      <c r="J13" s="12"/>
      <c r="K13" s="6"/>
      <c r="L13" s="6"/>
    </row>
    <row r="14" spans="1:17">
      <c r="A14" s="10">
        <v>180000.01</v>
      </c>
      <c r="B14" s="10">
        <v>360000</v>
      </c>
      <c r="C14" s="11" t="e">
        <f t="shared" si="1"/>
        <v>#DIV/0!</v>
      </c>
      <c r="D14" s="11" t="e">
        <f>0.198*C14</f>
        <v>#DIV/0!</v>
      </c>
      <c r="E14" s="11" t="e">
        <f>0.152*C14</f>
        <v>#DIV/0!</v>
      </c>
      <c r="F14" s="11" t="e">
        <f>0.2055*C14</f>
        <v>#DIV/0!</v>
      </c>
      <c r="G14" s="11" t="e">
        <f>0.0445*C14</f>
        <v>#DIV/0!</v>
      </c>
      <c r="H14" s="11" t="e">
        <f>0.4*C14</f>
        <v>#DIV/0!</v>
      </c>
      <c r="I14" s="12" t="s">
        <v>79</v>
      </c>
      <c r="J14" s="12"/>
      <c r="K14" s="6"/>
      <c r="L14" s="6"/>
    </row>
    <row r="15" spans="1:17">
      <c r="A15" s="10">
        <v>360000.01</v>
      </c>
      <c r="B15" s="10">
        <v>720000</v>
      </c>
      <c r="C15" s="11" t="e">
        <f t="shared" si="1"/>
        <v>#DIV/0!</v>
      </c>
      <c r="D15" s="11" t="e">
        <f>0.208*C15</f>
        <v>#DIV/0!</v>
      </c>
      <c r="E15" s="11" t="e">
        <f>0.152*C15</f>
        <v>#DIV/0!</v>
      </c>
      <c r="F15" s="11" t="e">
        <f>0.1973*C15</f>
        <v>#DIV/0!</v>
      </c>
      <c r="G15" s="11" t="e">
        <f>0.0427*C15</f>
        <v>#DIV/0!</v>
      </c>
      <c r="H15" s="11" t="e">
        <f>0.4*C15</f>
        <v>#DIV/0!</v>
      </c>
      <c r="I15" s="12" t="s">
        <v>80</v>
      </c>
      <c r="J15" s="12"/>
      <c r="K15" s="6"/>
      <c r="L15" s="6"/>
    </row>
    <row r="16" spans="1:17">
      <c r="A16" s="10">
        <v>720000.01</v>
      </c>
      <c r="B16" s="10">
        <v>1800000</v>
      </c>
      <c r="C16" s="11" t="e">
        <f t="shared" si="1"/>
        <v>#DIV/0!</v>
      </c>
      <c r="D16" s="11" t="e">
        <f>0.178*C16</f>
        <v>#DIV/0!</v>
      </c>
      <c r="E16" s="11" t="e">
        <f>0.192*C16</f>
        <v>#DIV/0!</v>
      </c>
      <c r="F16" s="11" t="e">
        <f>0.189*C16</f>
        <v>#DIV/0!</v>
      </c>
      <c r="G16" s="11" t="e">
        <f>0.041*C16</f>
        <v>#DIV/0!</v>
      </c>
      <c r="H16" s="11" t="e">
        <f>0.4*C16</f>
        <v>#DIV/0!</v>
      </c>
      <c r="I16" s="12" t="s">
        <v>81</v>
      </c>
      <c r="J16" s="12"/>
      <c r="K16" s="6"/>
      <c r="L16" s="6"/>
    </row>
    <row r="17" spans="1:12">
      <c r="A17" s="10">
        <v>1800001</v>
      </c>
      <c r="B17" s="10">
        <v>1939999</v>
      </c>
      <c r="C17" s="11" t="e">
        <f t="shared" si="1"/>
        <v>#DIV/0!</v>
      </c>
      <c r="D17" s="11" t="e">
        <f>0.188*C17</f>
        <v>#DIV/0!</v>
      </c>
      <c r="E17" s="11" t="e">
        <f>0.192*C17</f>
        <v>#DIV/0!</v>
      </c>
      <c r="F17" s="11" t="e">
        <f>0.1808*C17</f>
        <v>#DIV/0!</v>
      </c>
      <c r="G17" s="11" t="e">
        <f>0.0392*C17</f>
        <v>#DIV/0!</v>
      </c>
      <c r="H17" s="11" t="e">
        <f>0.4*C17</f>
        <v>#DIV/0!</v>
      </c>
      <c r="I17" s="12" t="s">
        <v>82</v>
      </c>
      <c r="J17" s="12"/>
      <c r="K17" s="6"/>
      <c r="L17" s="6"/>
    </row>
    <row r="18" spans="1:12">
      <c r="A18" s="10">
        <v>1940000</v>
      </c>
      <c r="B18" s="10">
        <v>3600000</v>
      </c>
      <c r="C18" s="11" t="e">
        <f t="shared" si="1"/>
        <v>#DIV/0!</v>
      </c>
      <c r="D18" s="11" t="e">
        <f>(C18-0.05)*0.3133</f>
        <v>#DIV/0!</v>
      </c>
      <c r="E18" s="11" t="e">
        <f>(C18-0.05)*0.32</f>
        <v>#DIV/0!</v>
      </c>
      <c r="F18" s="11" t="e">
        <f>(C18-0.05)*0.3013</f>
        <v>#DIV/0!</v>
      </c>
      <c r="G18" s="11" t="e">
        <f>(C18-0.05)*0.0654</f>
        <v>#DIV/0!</v>
      </c>
      <c r="H18" s="11">
        <v>0.05</v>
      </c>
      <c r="I18" s="12" t="s">
        <v>83</v>
      </c>
      <c r="J18" s="12"/>
      <c r="K18" s="6"/>
      <c r="L18" s="6"/>
    </row>
    <row r="19" spans="1:12">
      <c r="A19" s="10">
        <v>3600000.01</v>
      </c>
      <c r="B19" s="10">
        <v>4800000</v>
      </c>
      <c r="C19" s="11" t="e">
        <f t="shared" si="1"/>
        <v>#DIV/0!</v>
      </c>
      <c r="D19" s="11" t="e">
        <f>0.535*C19</f>
        <v>#DIV/0!</v>
      </c>
      <c r="E19" s="11" t="e">
        <f>0.215*C19</f>
        <v>#DIV/0!</v>
      </c>
      <c r="F19" s="11" t="e">
        <f>0.2055*C19</f>
        <v>#DIV/0!</v>
      </c>
      <c r="G19" s="11" t="e">
        <f>0.0445*C19</f>
        <v>#DIV/0!</v>
      </c>
      <c r="H19" s="11">
        <v>0.05</v>
      </c>
      <c r="I19" s="12" t="s">
        <v>84</v>
      </c>
      <c r="J19" s="12"/>
      <c r="K19" s="6"/>
      <c r="L19" s="6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showGridLines="0" zoomScale="85" zoomScaleNormal="85" workbookViewId="0">
      <selection activeCell="E22" activeCellId="3" sqref="A6:G6 D13:D23 B22:C23 E22:E23"/>
    </sheetView>
  </sheetViews>
  <sheetFormatPr defaultColWidth="8.7265625" defaultRowHeight="14.5"/>
  <cols>
    <col min="1" max="1" width="8.7265625" style="66"/>
    <col min="2" max="2" width="32.26953125" style="64" customWidth="1"/>
    <col min="3" max="3" width="21.453125" style="64" customWidth="1"/>
    <col min="4" max="4" width="17.7265625" style="64" customWidth="1"/>
    <col min="5" max="5" width="13.7265625" style="64" customWidth="1"/>
    <col min="6" max="6" width="9.453125" style="64" customWidth="1"/>
    <col min="7" max="7" width="13" style="64" customWidth="1"/>
    <col min="8" max="16384" width="8.7265625" style="66"/>
  </cols>
  <sheetData>
    <row r="1" spans="1:12" ht="28" customHeight="1">
      <c r="A1" s="596" t="s">
        <v>0</v>
      </c>
      <c r="B1" s="596"/>
      <c r="C1" s="596"/>
      <c r="D1" s="596"/>
      <c r="E1" s="596"/>
      <c r="F1" s="596"/>
      <c r="G1" s="596"/>
    </row>
    <row r="2" spans="1:12" ht="34.5" customHeight="1">
      <c r="A2" s="481" t="str">
        <f>Instruções!A2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</row>
    <row r="3" spans="1:12" s="64" customFormat="1" ht="6" customHeight="1">
      <c r="A3" s="597"/>
      <c r="B3" s="597"/>
      <c r="C3" s="597"/>
      <c r="D3" s="597"/>
      <c r="E3" s="597"/>
      <c r="F3" s="597"/>
      <c r="G3" s="597"/>
    </row>
    <row r="4" spans="1:12" s="64" customFormat="1" ht="19.5" customHeight="1">
      <c r="A4" s="600" t="s">
        <v>1</v>
      </c>
      <c r="B4" s="600"/>
      <c r="C4" s="600"/>
      <c r="D4" s="600"/>
      <c r="E4" s="600"/>
      <c r="F4" s="601" t="s">
        <v>337</v>
      </c>
      <c r="G4" s="601"/>
    </row>
    <row r="5" spans="1:12" s="64" customFormat="1" ht="9" customHeight="1">
      <c r="A5" s="602"/>
      <c r="B5" s="602"/>
      <c r="C5" s="602"/>
      <c r="D5" s="602"/>
      <c r="E5" s="602"/>
      <c r="F5" s="602"/>
      <c r="G5" s="603"/>
    </row>
    <row r="6" spans="1:12" s="64" customFormat="1" ht="19.5" customHeight="1">
      <c r="A6" s="477" t="s">
        <v>360</v>
      </c>
      <c r="B6" s="477"/>
      <c r="C6" s="477"/>
      <c r="D6" s="477"/>
      <c r="E6" s="477"/>
      <c r="F6" s="477"/>
      <c r="G6" s="477"/>
    </row>
    <row r="7" spans="1:12" ht="11.25" customHeight="1">
      <c r="A7" s="604"/>
      <c r="B7" s="604"/>
      <c r="C7" s="604"/>
      <c r="D7" s="604"/>
      <c r="E7" s="604"/>
      <c r="F7" s="604"/>
      <c r="G7" s="604"/>
    </row>
    <row r="8" spans="1:12" ht="20.5" customHeight="1">
      <c r="A8" s="605" t="s">
        <v>61</v>
      </c>
      <c r="B8" s="605"/>
      <c r="C8" s="605"/>
      <c r="D8" s="605"/>
      <c r="E8" s="605"/>
      <c r="F8" s="605"/>
      <c r="G8" s="605"/>
    </row>
    <row r="9" spans="1:12" ht="6.75" customHeight="1">
      <c r="A9" s="590"/>
      <c r="B9" s="590"/>
      <c r="C9" s="590"/>
      <c r="D9" s="590"/>
      <c r="E9" s="590"/>
      <c r="F9" s="590"/>
      <c r="G9" s="591"/>
    </row>
    <row r="10" spans="1:12" ht="20.5" customHeight="1">
      <c r="A10" s="592" t="s">
        <v>6</v>
      </c>
      <c r="B10" s="592"/>
      <c r="C10" s="592"/>
      <c r="D10" s="592"/>
      <c r="E10" s="592"/>
      <c r="F10" s="592"/>
      <c r="G10" s="592"/>
    </row>
    <row r="11" spans="1:12" ht="2" customHeight="1">
      <c r="A11" s="593"/>
      <c r="B11" s="593"/>
      <c r="C11" s="593"/>
      <c r="D11" s="593"/>
      <c r="E11" s="593"/>
      <c r="F11" s="593"/>
      <c r="G11" s="594"/>
    </row>
    <row r="12" spans="1:12" ht="31.5" customHeight="1">
      <c r="A12" s="433" t="s">
        <v>13</v>
      </c>
      <c r="B12" s="491" t="s">
        <v>365</v>
      </c>
      <c r="C12" s="491"/>
      <c r="D12" s="415" t="s">
        <v>14</v>
      </c>
      <c r="E12" s="415" t="s">
        <v>15</v>
      </c>
      <c r="F12" s="415" t="s">
        <v>16</v>
      </c>
      <c r="G12" s="415" t="s">
        <v>17</v>
      </c>
      <c r="J12" s="586"/>
      <c r="K12" s="586"/>
      <c r="L12" s="586"/>
    </row>
    <row r="13" spans="1:12" ht="29.5" customHeight="1">
      <c r="A13" s="434" t="s">
        <v>538</v>
      </c>
      <c r="B13" s="587" t="s">
        <v>18</v>
      </c>
      <c r="C13" s="587"/>
      <c r="D13" s="446">
        <v>62.17</v>
      </c>
      <c r="E13" s="103">
        <v>4</v>
      </c>
      <c r="F13" s="98">
        <v>2</v>
      </c>
      <c r="G13" s="293">
        <f t="shared" ref="G13:G23" si="0">ROUND((D13*F13)/E13,2)</f>
        <v>31.09</v>
      </c>
      <c r="J13" s="586"/>
      <c r="K13" s="586"/>
      <c r="L13" s="586"/>
    </row>
    <row r="14" spans="1:12" ht="26.5" customHeight="1">
      <c r="A14" s="434" t="s">
        <v>539</v>
      </c>
      <c r="B14" s="588" t="s">
        <v>19</v>
      </c>
      <c r="C14" s="589"/>
      <c r="D14" s="446">
        <v>19.600000000000001</v>
      </c>
      <c r="E14" s="103">
        <v>4</v>
      </c>
      <c r="F14" s="98">
        <v>2</v>
      </c>
      <c r="G14" s="293">
        <f t="shared" si="0"/>
        <v>9.8000000000000007</v>
      </c>
      <c r="J14" s="586"/>
      <c r="K14" s="586"/>
      <c r="L14" s="586"/>
    </row>
    <row r="15" spans="1:12" ht="19.5" customHeight="1">
      <c r="A15" s="434" t="s">
        <v>540</v>
      </c>
      <c r="B15" s="588" t="s">
        <v>20</v>
      </c>
      <c r="C15" s="589"/>
      <c r="D15" s="446">
        <v>4.75</v>
      </c>
      <c r="E15" s="103">
        <v>4</v>
      </c>
      <c r="F15" s="98">
        <v>2</v>
      </c>
      <c r="G15" s="293">
        <f t="shared" si="0"/>
        <v>2.38</v>
      </c>
      <c r="J15" s="586"/>
      <c r="K15" s="586"/>
      <c r="L15" s="586"/>
    </row>
    <row r="16" spans="1:12" ht="28.5" customHeight="1">
      <c r="A16" s="434" t="s">
        <v>541</v>
      </c>
      <c r="B16" s="588" t="s">
        <v>210</v>
      </c>
      <c r="C16" s="589"/>
      <c r="D16" s="446">
        <f>ROUND(AVERAGE(99.9,66.54,81.81,45.43),2)</f>
        <v>73.42</v>
      </c>
      <c r="E16" s="103">
        <v>4</v>
      </c>
      <c r="F16" s="98">
        <v>1</v>
      </c>
      <c r="G16" s="293">
        <f t="shared" si="0"/>
        <v>18.36</v>
      </c>
      <c r="J16" s="586"/>
      <c r="K16" s="586"/>
      <c r="L16" s="586"/>
    </row>
    <row r="17" spans="1:7" ht="19.5" customHeight="1">
      <c r="A17" s="434" t="s">
        <v>542</v>
      </c>
      <c r="B17" s="588" t="s">
        <v>21</v>
      </c>
      <c r="C17" s="589"/>
      <c r="D17" s="446">
        <v>62.97</v>
      </c>
      <c r="E17" s="103">
        <v>4</v>
      </c>
      <c r="F17" s="98">
        <v>1</v>
      </c>
      <c r="G17" s="293">
        <f t="shared" si="0"/>
        <v>15.74</v>
      </c>
    </row>
    <row r="18" spans="1:7" ht="19.5" customHeight="1">
      <c r="A18" s="434" t="s">
        <v>543</v>
      </c>
      <c r="B18" s="588" t="s">
        <v>211</v>
      </c>
      <c r="C18" s="589"/>
      <c r="D18" s="446">
        <f>AVERAGE(19.9,10.2,13.49,16)</f>
        <v>14.9</v>
      </c>
      <c r="E18" s="103">
        <v>6</v>
      </c>
      <c r="F18" s="98">
        <v>1</v>
      </c>
      <c r="G18" s="293">
        <f t="shared" si="0"/>
        <v>2.48</v>
      </c>
    </row>
    <row r="19" spans="1:7" ht="26.5" customHeight="1">
      <c r="A19" s="434" t="s">
        <v>544</v>
      </c>
      <c r="B19" s="435" t="s">
        <v>335</v>
      </c>
      <c r="C19" s="99"/>
      <c r="D19" s="446">
        <v>177.32</v>
      </c>
      <c r="E19" s="103">
        <v>6</v>
      </c>
      <c r="F19" s="98">
        <v>1</v>
      </c>
      <c r="G19" s="293">
        <f>ROUND((D19*F19)/E19,2)</f>
        <v>29.55</v>
      </c>
    </row>
    <row r="20" spans="1:7" ht="19.5" customHeight="1">
      <c r="A20" s="434" t="s">
        <v>545</v>
      </c>
      <c r="B20" s="435" t="s">
        <v>64</v>
      </c>
      <c r="C20" s="99"/>
      <c r="D20" s="446">
        <v>4.16</v>
      </c>
      <c r="E20" s="103">
        <v>3</v>
      </c>
      <c r="F20" s="98">
        <v>1</v>
      </c>
      <c r="G20" s="293">
        <f t="shared" ref="G20:G21" si="1">ROUND((D20*F20)/E20,2)</f>
        <v>1.39</v>
      </c>
    </row>
    <row r="21" spans="1:7" ht="26.5" customHeight="1">
      <c r="A21" s="434" t="s">
        <v>546</v>
      </c>
      <c r="B21" s="435" t="s">
        <v>336</v>
      </c>
      <c r="C21" s="99"/>
      <c r="D21" s="446">
        <v>12.83</v>
      </c>
      <c r="E21" s="103">
        <v>4</v>
      </c>
      <c r="F21" s="98">
        <v>2</v>
      </c>
      <c r="G21" s="293">
        <f t="shared" si="1"/>
        <v>6.42</v>
      </c>
    </row>
    <row r="22" spans="1:7" ht="19.5" customHeight="1">
      <c r="A22" s="434" t="s">
        <v>547</v>
      </c>
      <c r="B22" s="488" t="s">
        <v>22</v>
      </c>
      <c r="C22" s="488"/>
      <c r="D22" s="446"/>
      <c r="E22" s="447">
        <v>12</v>
      </c>
      <c r="F22" s="98">
        <v>0</v>
      </c>
      <c r="G22" s="293">
        <f t="shared" si="0"/>
        <v>0</v>
      </c>
    </row>
    <row r="23" spans="1:7" ht="19.5" customHeight="1">
      <c r="A23" s="434" t="s">
        <v>548</v>
      </c>
      <c r="B23" s="488" t="s">
        <v>22</v>
      </c>
      <c r="C23" s="488"/>
      <c r="D23" s="446"/>
      <c r="E23" s="447">
        <v>12</v>
      </c>
      <c r="F23" s="98">
        <v>0</v>
      </c>
      <c r="G23" s="293">
        <f t="shared" si="0"/>
        <v>0</v>
      </c>
    </row>
    <row r="24" spans="1:7" ht="7.5" customHeight="1">
      <c r="A24" s="590"/>
      <c r="B24" s="590"/>
      <c r="C24" s="590"/>
      <c r="D24" s="590"/>
      <c r="E24" s="590"/>
      <c r="F24" s="590"/>
      <c r="G24" s="591"/>
    </row>
    <row r="25" spans="1:7" ht="22" customHeight="1">
      <c r="A25" s="598" t="s">
        <v>23</v>
      </c>
      <c r="B25" s="598"/>
      <c r="C25" s="598"/>
      <c r="D25" s="598"/>
      <c r="E25" s="598"/>
      <c r="F25" s="100">
        <v>0.02</v>
      </c>
      <c r="G25" s="293">
        <f>ROUND(SUM(G13:G23)*F25,2)</f>
        <v>2.34</v>
      </c>
    </row>
    <row r="26" spans="1:7" ht="20.25" customHeight="1">
      <c r="A26" s="599" t="s">
        <v>62</v>
      </c>
      <c r="B26" s="599"/>
      <c r="C26" s="599"/>
      <c r="D26" s="599"/>
      <c r="E26" s="599"/>
      <c r="F26" s="599"/>
      <c r="G26" s="129">
        <f>SUM(G25,G22:G23,G19:G21,G18,G17,G16,G15,G14,G13)</f>
        <v>119.55</v>
      </c>
    </row>
    <row r="27" spans="1:7" ht="13" customHeight="1">
      <c r="A27" s="595" t="s">
        <v>63</v>
      </c>
      <c r="B27" s="595"/>
      <c r="C27" s="595"/>
      <c r="D27" s="595"/>
      <c r="E27" s="595"/>
      <c r="F27" s="595"/>
      <c r="G27" s="595"/>
    </row>
  </sheetData>
  <mergeCells count="26">
    <mergeCell ref="A1:G1"/>
    <mergeCell ref="A2:G2"/>
    <mergeCell ref="A3:G3"/>
    <mergeCell ref="A25:E25"/>
    <mergeCell ref="A26:F26"/>
    <mergeCell ref="B17:C17"/>
    <mergeCell ref="B18:C18"/>
    <mergeCell ref="B22:C22"/>
    <mergeCell ref="B23:C23"/>
    <mergeCell ref="A24:G24"/>
    <mergeCell ref="A4:E4"/>
    <mergeCell ref="F4:G4"/>
    <mergeCell ref="A5:G5"/>
    <mergeCell ref="A6:G6"/>
    <mergeCell ref="A7:G7"/>
    <mergeCell ref="A8:G8"/>
    <mergeCell ref="A9:G9"/>
    <mergeCell ref="A10:G10"/>
    <mergeCell ref="A11:G11"/>
    <mergeCell ref="B12:C12"/>
    <mergeCell ref="A27:G27"/>
    <mergeCell ref="J12:L16"/>
    <mergeCell ref="B13:C13"/>
    <mergeCell ref="B14:C14"/>
    <mergeCell ref="B15:C15"/>
    <mergeCell ref="B16:C16"/>
  </mergeCells>
  <pageMargins left="1.8897637795275593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79"/>
  <sheetViews>
    <sheetView showGridLines="0" topLeftCell="A71" zoomScaleNormal="100" workbookViewId="0">
      <selection activeCell="G79" sqref="G79"/>
    </sheetView>
  </sheetViews>
  <sheetFormatPr defaultRowHeight="14.5"/>
  <cols>
    <col min="1" max="1" width="8.7265625" style="3"/>
    <col min="2" max="2" width="40.08984375" style="3" customWidth="1"/>
    <col min="3" max="3" width="18" style="3" customWidth="1"/>
    <col min="4" max="4" width="12.7265625" style="3" customWidth="1"/>
    <col min="5" max="5" width="13.6328125" style="3" customWidth="1"/>
    <col min="6" max="6" width="15" style="3" customWidth="1"/>
    <col min="7" max="7" width="20.90625" style="3" customWidth="1"/>
    <col min="8" max="16384" width="8.7265625" style="3"/>
  </cols>
  <sheetData>
    <row r="1" spans="1:54" s="32" customFormat="1" ht="22.5" customHeight="1">
      <c r="A1" s="607" t="s">
        <v>0</v>
      </c>
      <c r="B1" s="608"/>
      <c r="C1" s="608"/>
      <c r="D1" s="608"/>
      <c r="E1" s="608"/>
      <c r="F1" s="608"/>
      <c r="G1" s="609"/>
    </row>
    <row r="2" spans="1:54" s="1" customFormat="1" ht="32.15" customHeight="1">
      <c r="A2" s="610" t="str">
        <f>Uniforme!A2</f>
        <v>Contratação de serviços de limpeza asseio e conservação, com fornecimento de material, utensílios e equipamentos, para as unidades jurisdicionadas à Delegacia da Receita Federal do Brasil em Niterói (DRF-NIT)</v>
      </c>
      <c r="B2" s="611"/>
      <c r="C2" s="611"/>
      <c r="D2" s="611"/>
      <c r="E2" s="611"/>
      <c r="F2" s="611"/>
      <c r="G2" s="612"/>
    </row>
    <row r="3" spans="1:54" s="1" customFormat="1" ht="6" customHeight="1">
      <c r="G3" s="33"/>
    </row>
    <row r="4" spans="1:54" s="1" customFormat="1" ht="19.5" customHeight="1">
      <c r="A4" s="524" t="s">
        <v>1</v>
      </c>
      <c r="B4" s="525"/>
      <c r="C4" s="525"/>
      <c r="D4" s="525"/>
      <c r="E4" s="525"/>
      <c r="F4" s="526"/>
      <c r="G4" s="34" t="str">
        <f>Instruções!J4</f>
        <v>10707.720194-2025-26</v>
      </c>
    </row>
    <row r="5" spans="1:54" s="1" customFormat="1" ht="9" customHeight="1"/>
    <row r="6" spans="1:54" s="1" customFormat="1" ht="19.5" customHeight="1">
      <c r="A6" s="613" t="s">
        <v>360</v>
      </c>
      <c r="B6" s="614"/>
      <c r="C6" s="614"/>
      <c r="D6" s="614"/>
      <c r="E6" s="614"/>
      <c r="F6" s="614"/>
      <c r="G6" s="615"/>
    </row>
    <row r="7" spans="1:54" ht="11.15" customHeight="1">
      <c r="B7" s="9"/>
      <c r="C7" s="9"/>
      <c r="D7" s="9"/>
      <c r="E7" s="9"/>
      <c r="F7" s="9"/>
      <c r="G7" s="9"/>
    </row>
    <row r="8" spans="1:54" s="32" customFormat="1" ht="22" customHeight="1">
      <c r="A8" s="616" t="s">
        <v>113</v>
      </c>
      <c r="B8" s="617"/>
      <c r="C8" s="617"/>
      <c r="D8" s="617"/>
      <c r="E8" s="617"/>
      <c r="F8" s="617"/>
      <c r="G8" s="618"/>
      <c r="H8" s="35"/>
      <c r="I8" s="38"/>
    </row>
    <row r="9" spans="1:54" ht="7" customHeight="1">
      <c r="I9" s="39"/>
    </row>
    <row r="10" spans="1:54" ht="39.75" customHeight="1">
      <c r="A10" s="418" t="s">
        <v>13</v>
      </c>
      <c r="B10" s="419" t="s">
        <v>365</v>
      </c>
      <c r="C10" s="419" t="s">
        <v>65</v>
      </c>
      <c r="D10" s="420" t="s">
        <v>15</v>
      </c>
      <c r="E10" s="420" t="s">
        <v>14</v>
      </c>
      <c r="F10" s="420" t="s">
        <v>114</v>
      </c>
      <c r="G10" s="420" t="s">
        <v>115</v>
      </c>
      <c r="H10" s="29"/>
      <c r="I10" s="3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</row>
    <row r="11" spans="1:54" ht="18" customHeight="1">
      <c r="A11" s="40" t="s">
        <v>366</v>
      </c>
      <c r="B11" s="41" t="s">
        <v>116</v>
      </c>
      <c r="C11" s="42" t="s">
        <v>117</v>
      </c>
      <c r="D11" s="437">
        <v>12</v>
      </c>
      <c r="E11" s="448">
        <v>8.2200000000000006</v>
      </c>
      <c r="F11" s="437">
        <v>402</v>
      </c>
      <c r="G11" s="438">
        <f>ROUND((E11*F11)/D11,2)</f>
        <v>275.37</v>
      </c>
      <c r="I11" s="39"/>
    </row>
    <row r="12" spans="1:54" ht="18" customHeight="1">
      <c r="A12" s="40" t="s">
        <v>367</v>
      </c>
      <c r="B12" s="41" t="s">
        <v>368</v>
      </c>
      <c r="C12" s="42" t="s">
        <v>118</v>
      </c>
      <c r="D12" s="437">
        <v>12</v>
      </c>
      <c r="E12" s="448">
        <v>9.2200000000000006</v>
      </c>
      <c r="F12" s="437">
        <v>640</v>
      </c>
      <c r="G12" s="438">
        <f t="shared" ref="G12:G73" si="0">ROUND((E12*F12)/D12,2)</f>
        <v>491.73</v>
      </c>
    </row>
    <row r="13" spans="1:54" ht="18" customHeight="1">
      <c r="A13" s="45" t="s">
        <v>369</v>
      </c>
      <c r="B13" s="41" t="s">
        <v>370</v>
      </c>
      <c r="C13" s="42" t="s">
        <v>119</v>
      </c>
      <c r="D13" s="437">
        <v>12</v>
      </c>
      <c r="E13" s="448">
        <v>7.47</v>
      </c>
      <c r="F13" s="437">
        <v>178</v>
      </c>
      <c r="G13" s="438">
        <f t="shared" si="0"/>
        <v>110.81</v>
      </c>
    </row>
    <row r="14" spans="1:54" ht="27" customHeight="1">
      <c r="A14" s="40" t="s">
        <v>371</v>
      </c>
      <c r="B14" s="46" t="s">
        <v>372</v>
      </c>
      <c r="C14" s="42" t="s">
        <v>120</v>
      </c>
      <c r="D14" s="437">
        <v>12</v>
      </c>
      <c r="E14" s="448">
        <v>9.93</v>
      </c>
      <c r="F14" s="437">
        <v>51</v>
      </c>
      <c r="G14" s="438">
        <f t="shared" si="0"/>
        <v>42.2</v>
      </c>
    </row>
    <row r="15" spans="1:54" ht="18" customHeight="1">
      <c r="A15" s="40" t="s">
        <v>373</v>
      </c>
      <c r="B15" s="47" t="s">
        <v>130</v>
      </c>
      <c r="C15" s="48" t="s">
        <v>120</v>
      </c>
      <c r="D15" s="437">
        <v>12</v>
      </c>
      <c r="E15" s="448">
        <v>5.47</v>
      </c>
      <c r="F15" s="437">
        <v>144</v>
      </c>
      <c r="G15" s="438">
        <f t="shared" si="0"/>
        <v>65.64</v>
      </c>
    </row>
    <row r="16" spans="1:54" ht="18" customHeight="1">
      <c r="A16" s="45" t="s">
        <v>374</v>
      </c>
      <c r="B16" s="46" t="s">
        <v>375</v>
      </c>
      <c r="C16" s="49" t="s">
        <v>117</v>
      </c>
      <c r="D16" s="437">
        <v>12</v>
      </c>
      <c r="E16" s="448">
        <v>60.33</v>
      </c>
      <c r="F16" s="437">
        <v>106</v>
      </c>
      <c r="G16" s="438">
        <f t="shared" si="0"/>
        <v>532.91999999999996</v>
      </c>
    </row>
    <row r="17" spans="1:7" ht="18" customHeight="1">
      <c r="A17" s="40" t="s">
        <v>376</v>
      </c>
      <c r="B17" s="41" t="s">
        <v>377</v>
      </c>
      <c r="C17" s="42" t="s">
        <v>120</v>
      </c>
      <c r="D17" s="437">
        <v>12</v>
      </c>
      <c r="E17" s="448">
        <v>6.11</v>
      </c>
      <c r="F17" s="437">
        <v>42</v>
      </c>
      <c r="G17" s="438">
        <f t="shared" si="0"/>
        <v>21.39</v>
      </c>
    </row>
    <row r="18" spans="1:7" ht="18" customHeight="1">
      <c r="A18" s="40" t="s">
        <v>378</v>
      </c>
      <c r="B18" s="46" t="s">
        <v>379</v>
      </c>
      <c r="C18" s="42" t="s">
        <v>120</v>
      </c>
      <c r="D18" s="437">
        <v>12</v>
      </c>
      <c r="E18" s="448">
        <v>8.66</v>
      </c>
      <c r="F18" s="437">
        <v>40</v>
      </c>
      <c r="G18" s="438">
        <f t="shared" si="0"/>
        <v>28.87</v>
      </c>
    </row>
    <row r="19" spans="1:7" ht="18" customHeight="1">
      <c r="A19" s="45" t="s">
        <v>380</v>
      </c>
      <c r="B19" s="469" t="s">
        <v>550</v>
      </c>
      <c r="C19" s="42" t="s">
        <v>117</v>
      </c>
      <c r="D19" s="437">
        <v>12</v>
      </c>
      <c r="E19" s="448">
        <v>65.27</v>
      </c>
      <c r="F19" s="437">
        <v>9</v>
      </c>
      <c r="G19" s="438">
        <f t="shared" si="0"/>
        <v>48.95</v>
      </c>
    </row>
    <row r="20" spans="1:7" ht="18" customHeight="1">
      <c r="A20" s="40" t="s">
        <v>382</v>
      </c>
      <c r="B20" s="46" t="s">
        <v>381</v>
      </c>
      <c r="C20" s="42" t="s">
        <v>117</v>
      </c>
      <c r="D20" s="437">
        <v>12</v>
      </c>
      <c r="E20" s="448">
        <v>44.8</v>
      </c>
      <c r="F20" s="437">
        <v>338</v>
      </c>
      <c r="G20" s="438">
        <f t="shared" si="0"/>
        <v>1261.8699999999999</v>
      </c>
    </row>
    <row r="21" spans="1:7" ht="18" customHeight="1">
      <c r="A21" s="40" t="s">
        <v>384</v>
      </c>
      <c r="B21" s="46" t="s">
        <v>383</v>
      </c>
      <c r="C21" s="50" t="s">
        <v>323</v>
      </c>
      <c r="D21" s="437">
        <v>12</v>
      </c>
      <c r="E21" s="448">
        <v>14.13</v>
      </c>
      <c r="F21" s="437">
        <v>430</v>
      </c>
      <c r="G21" s="438">
        <f t="shared" si="0"/>
        <v>506.33</v>
      </c>
    </row>
    <row r="22" spans="1:7" ht="18" customHeight="1">
      <c r="A22" s="45" t="s">
        <v>386</v>
      </c>
      <c r="B22" s="46" t="s">
        <v>385</v>
      </c>
      <c r="C22" s="51" t="s">
        <v>117</v>
      </c>
      <c r="D22" s="437">
        <v>12</v>
      </c>
      <c r="E22" s="448">
        <v>20.75</v>
      </c>
      <c r="F22" s="437">
        <v>200</v>
      </c>
      <c r="G22" s="438">
        <f t="shared" si="0"/>
        <v>345.83</v>
      </c>
    </row>
    <row r="23" spans="1:7" ht="18" customHeight="1">
      <c r="A23" s="40" t="s">
        <v>388</v>
      </c>
      <c r="B23" s="46" t="s">
        <v>387</v>
      </c>
      <c r="C23" s="51" t="s">
        <v>119</v>
      </c>
      <c r="D23" s="437">
        <v>12</v>
      </c>
      <c r="E23" s="448">
        <v>2.08</v>
      </c>
      <c r="F23" s="437">
        <v>786</v>
      </c>
      <c r="G23" s="438">
        <f t="shared" si="0"/>
        <v>136.24</v>
      </c>
    </row>
    <row r="24" spans="1:7" ht="18" customHeight="1">
      <c r="A24" s="40" t="s">
        <v>390</v>
      </c>
      <c r="B24" s="46" t="s">
        <v>389</v>
      </c>
      <c r="C24" s="51" t="s">
        <v>120</v>
      </c>
      <c r="D24" s="437">
        <v>12</v>
      </c>
      <c r="E24" s="448">
        <v>23.99</v>
      </c>
      <c r="F24" s="437">
        <v>12</v>
      </c>
      <c r="G24" s="438">
        <f t="shared" si="0"/>
        <v>23.99</v>
      </c>
    </row>
    <row r="25" spans="1:7" ht="18" customHeight="1">
      <c r="A25" s="45" t="s">
        <v>392</v>
      </c>
      <c r="B25" s="46" t="s">
        <v>391</v>
      </c>
      <c r="C25" s="51" t="s">
        <v>120</v>
      </c>
      <c r="D25" s="437">
        <v>12</v>
      </c>
      <c r="E25" s="448">
        <v>96.21</v>
      </c>
      <c r="F25" s="437">
        <v>0</v>
      </c>
      <c r="G25" s="438">
        <f t="shared" si="0"/>
        <v>0</v>
      </c>
    </row>
    <row r="26" spans="1:7" ht="28" customHeight="1">
      <c r="A26" s="40" t="s">
        <v>394</v>
      </c>
      <c r="B26" s="46" t="s">
        <v>393</v>
      </c>
      <c r="C26" s="51" t="s">
        <v>120</v>
      </c>
      <c r="D26" s="437">
        <v>12</v>
      </c>
      <c r="E26" s="448">
        <v>6.48</v>
      </c>
      <c r="F26" s="437">
        <v>30</v>
      </c>
      <c r="G26" s="438">
        <f t="shared" si="0"/>
        <v>16.2</v>
      </c>
    </row>
    <row r="27" spans="1:7" ht="18" customHeight="1">
      <c r="A27" s="40" t="s">
        <v>396</v>
      </c>
      <c r="B27" s="46" t="s">
        <v>395</v>
      </c>
      <c r="C27" s="51" t="s">
        <v>120</v>
      </c>
      <c r="D27" s="437">
        <v>12</v>
      </c>
      <c r="E27" s="448">
        <v>6.98</v>
      </c>
      <c r="F27" s="437">
        <v>50</v>
      </c>
      <c r="G27" s="438">
        <f t="shared" si="0"/>
        <v>29.08</v>
      </c>
    </row>
    <row r="28" spans="1:7" ht="18" customHeight="1">
      <c r="A28" s="45" t="s">
        <v>398</v>
      </c>
      <c r="B28" s="52" t="s">
        <v>397</v>
      </c>
      <c r="C28" s="50" t="s">
        <v>120</v>
      </c>
      <c r="D28" s="437">
        <v>12</v>
      </c>
      <c r="E28" s="448">
        <v>23.24</v>
      </c>
      <c r="F28" s="437">
        <v>20</v>
      </c>
      <c r="G28" s="438">
        <f t="shared" si="0"/>
        <v>38.729999999999997</v>
      </c>
    </row>
    <row r="29" spans="1:7" ht="18" customHeight="1">
      <c r="A29" s="40" t="s">
        <v>400</v>
      </c>
      <c r="B29" s="52" t="s">
        <v>399</v>
      </c>
      <c r="C29" s="50" t="s">
        <v>120</v>
      </c>
      <c r="D29" s="437">
        <v>12</v>
      </c>
      <c r="E29" s="448">
        <v>28.34</v>
      </c>
      <c r="F29" s="437">
        <v>18</v>
      </c>
      <c r="G29" s="438">
        <f t="shared" si="0"/>
        <v>42.51</v>
      </c>
    </row>
    <row r="30" spans="1:7" ht="18" customHeight="1">
      <c r="A30" s="40" t="s">
        <v>402</v>
      </c>
      <c r="B30" s="47" t="s">
        <v>401</v>
      </c>
      <c r="C30" s="48" t="s">
        <v>123</v>
      </c>
      <c r="D30" s="437">
        <v>12</v>
      </c>
      <c r="E30" s="448">
        <v>2.19</v>
      </c>
      <c r="F30" s="437">
        <v>128</v>
      </c>
      <c r="G30" s="438">
        <f t="shared" si="0"/>
        <v>23.36</v>
      </c>
    </row>
    <row r="31" spans="1:7" ht="18" customHeight="1">
      <c r="A31" s="45" t="s">
        <v>404</v>
      </c>
      <c r="B31" s="46" t="s">
        <v>403</v>
      </c>
      <c r="C31" s="42" t="s">
        <v>120</v>
      </c>
      <c r="D31" s="437">
        <v>12</v>
      </c>
      <c r="E31" s="448">
        <v>1.22</v>
      </c>
      <c r="F31" s="437">
        <v>1022</v>
      </c>
      <c r="G31" s="438">
        <f t="shared" si="0"/>
        <v>103.9</v>
      </c>
    </row>
    <row r="32" spans="1:7" ht="18" customHeight="1">
      <c r="A32" s="40" t="s">
        <v>406</v>
      </c>
      <c r="B32" s="52" t="s">
        <v>405</v>
      </c>
      <c r="C32" s="50" t="s">
        <v>120</v>
      </c>
      <c r="D32" s="437">
        <v>12</v>
      </c>
      <c r="E32" s="448">
        <v>5.99</v>
      </c>
      <c r="F32" s="437">
        <v>0</v>
      </c>
      <c r="G32" s="438">
        <f t="shared" si="0"/>
        <v>0</v>
      </c>
    </row>
    <row r="33" spans="1:7" ht="27.5" customHeight="1">
      <c r="A33" s="40" t="s">
        <v>408</v>
      </c>
      <c r="B33" s="46" t="s">
        <v>407</v>
      </c>
      <c r="C33" s="42" t="s">
        <v>120</v>
      </c>
      <c r="D33" s="437">
        <v>12</v>
      </c>
      <c r="E33" s="448">
        <v>76.7</v>
      </c>
      <c r="F33" s="437">
        <v>9</v>
      </c>
      <c r="G33" s="438">
        <f t="shared" si="0"/>
        <v>57.53</v>
      </c>
    </row>
    <row r="34" spans="1:7" ht="27.5" customHeight="1">
      <c r="A34" s="45" t="s">
        <v>409</v>
      </c>
      <c r="B34" s="41" t="s">
        <v>121</v>
      </c>
      <c r="C34" s="42" t="s">
        <v>120</v>
      </c>
      <c r="D34" s="437">
        <v>12</v>
      </c>
      <c r="E34" s="448">
        <v>2.42</v>
      </c>
      <c r="F34" s="437">
        <v>450</v>
      </c>
      <c r="G34" s="438">
        <f t="shared" si="0"/>
        <v>90.75</v>
      </c>
    </row>
    <row r="35" spans="1:7" ht="30" customHeight="1">
      <c r="A35" s="40" t="s">
        <v>412</v>
      </c>
      <c r="B35" s="52" t="s">
        <v>410</v>
      </c>
      <c r="C35" s="50" t="s">
        <v>411</v>
      </c>
      <c r="D35" s="437">
        <v>12</v>
      </c>
      <c r="E35" s="448">
        <v>19.309999999999999</v>
      </c>
      <c r="F35" s="437">
        <v>516</v>
      </c>
      <c r="G35" s="438">
        <f t="shared" si="0"/>
        <v>830.33</v>
      </c>
    </row>
    <row r="36" spans="1:7" ht="31.5" customHeight="1">
      <c r="A36" s="40" t="s">
        <v>414</v>
      </c>
      <c r="B36" s="52" t="s">
        <v>413</v>
      </c>
      <c r="C36" s="50" t="s">
        <v>328</v>
      </c>
      <c r="D36" s="437">
        <v>12</v>
      </c>
      <c r="E36" s="448">
        <v>20.92</v>
      </c>
      <c r="F36" s="437">
        <v>306</v>
      </c>
      <c r="G36" s="438">
        <f t="shared" si="0"/>
        <v>533.46</v>
      </c>
    </row>
    <row r="37" spans="1:7" ht="18" customHeight="1">
      <c r="A37" s="45" t="s">
        <v>416</v>
      </c>
      <c r="B37" s="52" t="s">
        <v>415</v>
      </c>
      <c r="C37" s="50" t="s">
        <v>120</v>
      </c>
      <c r="D37" s="437">
        <v>12</v>
      </c>
      <c r="E37" s="448">
        <v>38.68</v>
      </c>
      <c r="F37" s="437">
        <v>12</v>
      </c>
      <c r="G37" s="438">
        <f t="shared" si="0"/>
        <v>38.68</v>
      </c>
    </row>
    <row r="38" spans="1:7" ht="18" customHeight="1">
      <c r="A38" s="40" t="s">
        <v>419</v>
      </c>
      <c r="B38" s="46" t="s">
        <v>417</v>
      </c>
      <c r="C38" s="51" t="s">
        <v>418</v>
      </c>
      <c r="D38" s="437">
        <v>12</v>
      </c>
      <c r="E38" s="448">
        <v>21.64</v>
      </c>
      <c r="F38" s="437">
        <v>272</v>
      </c>
      <c r="G38" s="438">
        <f t="shared" si="0"/>
        <v>490.51</v>
      </c>
    </row>
    <row r="39" spans="1:7" ht="29.5" customHeight="1">
      <c r="A39" s="40" t="s">
        <v>421</v>
      </c>
      <c r="B39" s="46" t="s">
        <v>420</v>
      </c>
      <c r="C39" s="42" t="s">
        <v>119</v>
      </c>
      <c r="D39" s="437">
        <v>12</v>
      </c>
      <c r="E39" s="448">
        <v>3.37</v>
      </c>
      <c r="F39" s="437">
        <v>534</v>
      </c>
      <c r="G39" s="438">
        <f t="shared" si="0"/>
        <v>149.97</v>
      </c>
    </row>
    <row r="40" spans="1:7" ht="29.5" customHeight="1">
      <c r="A40" s="45" t="s">
        <v>422</v>
      </c>
      <c r="B40" s="470" t="s">
        <v>551</v>
      </c>
      <c r="C40" s="50" t="s">
        <v>120</v>
      </c>
      <c r="D40" s="437">
        <v>12</v>
      </c>
      <c r="E40" s="448">
        <v>22.9</v>
      </c>
      <c r="F40" s="437">
        <v>91</v>
      </c>
      <c r="G40" s="438">
        <f t="shared" si="0"/>
        <v>173.66</v>
      </c>
    </row>
    <row r="41" spans="1:7" ht="26.5" customHeight="1">
      <c r="A41" s="40" t="s">
        <v>423</v>
      </c>
      <c r="B41" s="471" t="s">
        <v>552</v>
      </c>
      <c r="C41" s="48" t="s">
        <v>120</v>
      </c>
      <c r="D41" s="437">
        <v>12</v>
      </c>
      <c r="E41" s="448">
        <v>16.23</v>
      </c>
      <c r="F41" s="437">
        <v>166</v>
      </c>
      <c r="G41" s="438">
        <f t="shared" si="0"/>
        <v>224.52</v>
      </c>
    </row>
    <row r="42" spans="1:7" ht="26.5" customHeight="1">
      <c r="A42" s="40" t="s">
        <v>425</v>
      </c>
      <c r="B42" s="471" t="s">
        <v>553</v>
      </c>
      <c r="C42" s="48" t="s">
        <v>120</v>
      </c>
      <c r="D42" s="437">
        <v>12</v>
      </c>
      <c r="E42" s="448">
        <v>32.11</v>
      </c>
      <c r="F42" s="437">
        <v>66</v>
      </c>
      <c r="G42" s="438">
        <f t="shared" si="0"/>
        <v>176.61</v>
      </c>
    </row>
    <row r="43" spans="1:7" ht="26.5" customHeight="1">
      <c r="A43" s="45" t="s">
        <v>427</v>
      </c>
      <c r="B43" s="471" t="s">
        <v>554</v>
      </c>
      <c r="C43" s="48" t="s">
        <v>120</v>
      </c>
      <c r="D43" s="437">
        <v>12</v>
      </c>
      <c r="E43" s="448">
        <v>85.33</v>
      </c>
      <c r="F43" s="437">
        <v>13</v>
      </c>
      <c r="G43" s="438">
        <f t="shared" si="0"/>
        <v>92.44</v>
      </c>
    </row>
    <row r="44" spans="1:7" ht="18" customHeight="1">
      <c r="A44" s="40" t="s">
        <v>429</v>
      </c>
      <c r="B44" s="52" t="s">
        <v>424</v>
      </c>
      <c r="C44" s="50" t="s">
        <v>325</v>
      </c>
      <c r="D44" s="437">
        <v>12</v>
      </c>
      <c r="E44" s="448">
        <v>10</v>
      </c>
      <c r="F44" s="437">
        <v>72</v>
      </c>
      <c r="G44" s="438">
        <f t="shared" si="0"/>
        <v>60</v>
      </c>
    </row>
    <row r="45" spans="1:7" ht="18" customHeight="1">
      <c r="A45" s="40" t="s">
        <v>431</v>
      </c>
      <c r="B45" s="41" t="s">
        <v>426</v>
      </c>
      <c r="C45" s="42" t="s">
        <v>122</v>
      </c>
      <c r="D45" s="437">
        <v>12</v>
      </c>
      <c r="E45" s="448">
        <v>4.16</v>
      </c>
      <c r="F45" s="437">
        <v>354</v>
      </c>
      <c r="G45" s="438">
        <f t="shared" si="0"/>
        <v>122.72</v>
      </c>
    </row>
    <row r="46" spans="1:7" ht="18" customHeight="1">
      <c r="A46" s="45" t="s">
        <v>433</v>
      </c>
      <c r="B46" s="53" t="s">
        <v>428</v>
      </c>
      <c r="C46" s="51" t="s">
        <v>120</v>
      </c>
      <c r="D46" s="437">
        <v>12</v>
      </c>
      <c r="E46" s="448">
        <v>13.39</v>
      </c>
      <c r="F46" s="437">
        <v>44</v>
      </c>
      <c r="G46" s="438">
        <f t="shared" si="0"/>
        <v>49.1</v>
      </c>
    </row>
    <row r="47" spans="1:7" ht="45.5" customHeight="1">
      <c r="A47" s="40" t="s">
        <v>435</v>
      </c>
      <c r="B47" s="46" t="s">
        <v>430</v>
      </c>
      <c r="C47" s="51" t="s">
        <v>120</v>
      </c>
      <c r="D47" s="437">
        <v>12</v>
      </c>
      <c r="E47" s="448">
        <v>5.68</v>
      </c>
      <c r="F47" s="437">
        <v>712</v>
      </c>
      <c r="G47" s="438">
        <f t="shared" si="0"/>
        <v>337.01</v>
      </c>
    </row>
    <row r="48" spans="1:7" ht="42.5" customHeight="1">
      <c r="A48" s="40" t="s">
        <v>437</v>
      </c>
      <c r="B48" s="46" t="s">
        <v>432</v>
      </c>
      <c r="C48" s="51" t="s">
        <v>120</v>
      </c>
      <c r="D48" s="437">
        <v>12</v>
      </c>
      <c r="E48" s="448">
        <v>3.22</v>
      </c>
      <c r="F48" s="437">
        <v>60</v>
      </c>
      <c r="G48" s="438">
        <f t="shared" si="0"/>
        <v>16.100000000000001</v>
      </c>
    </row>
    <row r="49" spans="1:7" ht="18" customHeight="1">
      <c r="A49" s="45" t="s">
        <v>438</v>
      </c>
      <c r="B49" s="46" t="s">
        <v>434</v>
      </c>
      <c r="C49" s="51" t="s">
        <v>321</v>
      </c>
      <c r="D49" s="437">
        <v>12</v>
      </c>
      <c r="E49" s="448">
        <v>101.49</v>
      </c>
      <c r="F49" s="437">
        <v>21</v>
      </c>
      <c r="G49" s="438">
        <f t="shared" si="0"/>
        <v>177.61</v>
      </c>
    </row>
    <row r="50" spans="1:7" ht="30.5" customHeight="1">
      <c r="A50" s="40" t="s">
        <v>440</v>
      </c>
      <c r="B50" s="54" t="s">
        <v>436</v>
      </c>
      <c r="C50" s="55" t="s">
        <v>124</v>
      </c>
      <c r="D50" s="437">
        <v>12</v>
      </c>
      <c r="E50" s="448">
        <v>20.7</v>
      </c>
      <c r="F50" s="437">
        <v>62</v>
      </c>
      <c r="G50" s="438">
        <f t="shared" si="0"/>
        <v>106.95</v>
      </c>
    </row>
    <row r="51" spans="1:7" ht="30.5" customHeight="1">
      <c r="A51" s="40" t="s">
        <v>443</v>
      </c>
      <c r="B51" s="46" t="s">
        <v>326</v>
      </c>
      <c r="C51" s="42" t="s">
        <v>123</v>
      </c>
      <c r="D51" s="437">
        <v>12</v>
      </c>
      <c r="E51" s="448">
        <v>97.51</v>
      </c>
      <c r="F51" s="437">
        <v>371</v>
      </c>
      <c r="G51" s="438">
        <f t="shared" si="0"/>
        <v>3014.68</v>
      </c>
    </row>
    <row r="52" spans="1:7" ht="30.5" customHeight="1">
      <c r="A52" s="45" t="s">
        <v>445</v>
      </c>
      <c r="B52" s="46" t="s">
        <v>439</v>
      </c>
      <c r="C52" s="56" t="s">
        <v>327</v>
      </c>
      <c r="D52" s="437">
        <v>12</v>
      </c>
      <c r="E52" s="448">
        <v>28.07</v>
      </c>
      <c r="F52" s="437">
        <v>1358</v>
      </c>
      <c r="G52" s="438">
        <f t="shared" si="0"/>
        <v>3176.59</v>
      </c>
    </row>
    <row r="53" spans="1:7" ht="18" customHeight="1">
      <c r="A53" s="40" t="s">
        <v>446</v>
      </c>
      <c r="B53" s="52" t="s">
        <v>441</v>
      </c>
      <c r="C53" s="50" t="s">
        <v>442</v>
      </c>
      <c r="D53" s="437">
        <v>12</v>
      </c>
      <c r="E53" s="448">
        <v>20.88</v>
      </c>
      <c r="F53" s="437">
        <v>0</v>
      </c>
      <c r="G53" s="438">
        <f t="shared" si="0"/>
        <v>0</v>
      </c>
    </row>
    <row r="54" spans="1:7" ht="18" customHeight="1">
      <c r="A54" s="40" t="s">
        <v>448</v>
      </c>
      <c r="B54" s="46" t="s">
        <v>444</v>
      </c>
      <c r="C54" s="50" t="s">
        <v>333</v>
      </c>
      <c r="D54" s="437">
        <v>12</v>
      </c>
      <c r="E54" s="448">
        <v>38.68</v>
      </c>
      <c r="F54" s="437">
        <v>0</v>
      </c>
      <c r="G54" s="438">
        <f t="shared" si="0"/>
        <v>0</v>
      </c>
    </row>
    <row r="55" spans="1:7" ht="18" customHeight="1">
      <c r="A55" s="45" t="s">
        <v>450</v>
      </c>
      <c r="B55" s="52" t="s">
        <v>322</v>
      </c>
      <c r="C55" s="50" t="s">
        <v>120</v>
      </c>
      <c r="D55" s="437">
        <v>12</v>
      </c>
      <c r="E55" s="448">
        <v>21.32</v>
      </c>
      <c r="F55" s="437">
        <v>24</v>
      </c>
      <c r="G55" s="438">
        <f t="shared" si="0"/>
        <v>42.64</v>
      </c>
    </row>
    <row r="56" spans="1:7" ht="18" customHeight="1">
      <c r="A56" s="40" t="s">
        <v>452</v>
      </c>
      <c r="B56" s="52" t="s">
        <v>555</v>
      </c>
      <c r="C56" s="50" t="s">
        <v>117</v>
      </c>
      <c r="D56" s="437">
        <v>12</v>
      </c>
      <c r="E56" s="448">
        <v>48.17</v>
      </c>
      <c r="F56" s="437">
        <v>9</v>
      </c>
      <c r="G56" s="438">
        <f t="shared" si="0"/>
        <v>36.130000000000003</v>
      </c>
    </row>
    <row r="57" spans="1:7" ht="18" customHeight="1">
      <c r="A57" s="40" t="s">
        <v>453</v>
      </c>
      <c r="B57" s="41" t="s">
        <v>447</v>
      </c>
      <c r="C57" s="42" t="s">
        <v>120</v>
      </c>
      <c r="D57" s="437">
        <v>12</v>
      </c>
      <c r="E57" s="448">
        <v>4.4800000000000004</v>
      </c>
      <c r="F57" s="437">
        <v>26</v>
      </c>
      <c r="G57" s="438">
        <f t="shared" si="0"/>
        <v>9.7100000000000009</v>
      </c>
    </row>
    <row r="58" spans="1:7" ht="28" customHeight="1">
      <c r="A58" s="45" t="s">
        <v>455</v>
      </c>
      <c r="B58" s="52" t="s">
        <v>449</v>
      </c>
      <c r="C58" s="50" t="s">
        <v>120</v>
      </c>
      <c r="D58" s="437">
        <v>12</v>
      </c>
      <c r="E58" s="448">
        <v>23.04</v>
      </c>
      <c r="F58" s="437">
        <v>39</v>
      </c>
      <c r="G58" s="438">
        <f t="shared" si="0"/>
        <v>74.88</v>
      </c>
    </row>
    <row r="59" spans="1:7" ht="28" customHeight="1">
      <c r="A59" s="464" t="s">
        <v>456</v>
      </c>
      <c r="B59" s="46" t="s">
        <v>451</v>
      </c>
      <c r="C59" s="42" t="s">
        <v>120</v>
      </c>
      <c r="D59" s="437">
        <v>12</v>
      </c>
      <c r="E59" s="448">
        <v>44.82</v>
      </c>
      <c r="F59" s="437">
        <v>14</v>
      </c>
      <c r="G59" s="438">
        <f t="shared" si="0"/>
        <v>52.29</v>
      </c>
    </row>
    <row r="60" spans="1:7" ht="18" customHeight="1">
      <c r="A60" s="40" t="s">
        <v>457</v>
      </c>
      <c r="B60" s="41" t="s">
        <v>125</v>
      </c>
      <c r="C60" s="42" t="s">
        <v>126</v>
      </c>
      <c r="D60" s="437">
        <v>12</v>
      </c>
      <c r="E60" s="448">
        <v>3.94</v>
      </c>
      <c r="F60" s="437">
        <v>261</v>
      </c>
      <c r="G60" s="438">
        <f>ROUND((E60*F60)/D60,2)</f>
        <v>85.7</v>
      </c>
    </row>
    <row r="61" spans="1:7" ht="18" customHeight="1">
      <c r="A61" s="45" t="s">
        <v>458</v>
      </c>
      <c r="B61" s="46" t="s">
        <v>454</v>
      </c>
      <c r="C61" s="42" t="s">
        <v>117</v>
      </c>
      <c r="D61" s="437">
        <v>12</v>
      </c>
      <c r="E61" s="448">
        <v>15.69</v>
      </c>
      <c r="F61" s="437">
        <v>138</v>
      </c>
      <c r="G61" s="438">
        <f>ROUND((E61*F61)/D61,2)</f>
        <v>180.44</v>
      </c>
    </row>
    <row r="62" spans="1:7" ht="27.5" customHeight="1">
      <c r="A62" s="40" t="s">
        <v>459</v>
      </c>
      <c r="B62" s="57" t="s">
        <v>556</v>
      </c>
      <c r="C62" s="42" t="s">
        <v>127</v>
      </c>
      <c r="D62" s="437">
        <v>12</v>
      </c>
      <c r="E62" s="448">
        <f>AVERAGE(19.99,12.4,14.95)</f>
        <v>15.78</v>
      </c>
      <c r="F62" s="437">
        <v>120</v>
      </c>
      <c r="G62" s="438">
        <f t="shared" ref="G62:G64" si="1">ROUND((E62*F62)/D62,2)</f>
        <v>157.80000000000001</v>
      </c>
    </row>
    <row r="63" spans="1:7" ht="27.5" customHeight="1">
      <c r="A63" s="40" t="s">
        <v>461</v>
      </c>
      <c r="B63" s="57" t="s">
        <v>557</v>
      </c>
      <c r="C63" s="42" t="s">
        <v>127</v>
      </c>
      <c r="D63" s="437">
        <v>12</v>
      </c>
      <c r="E63" s="448">
        <f>AVERAGE(26.04,23.89,23.75)</f>
        <v>24.56</v>
      </c>
      <c r="F63" s="437">
        <v>123</v>
      </c>
      <c r="G63" s="438">
        <f t="shared" si="1"/>
        <v>251.74</v>
      </c>
    </row>
    <row r="64" spans="1:7" ht="27.5" customHeight="1">
      <c r="A64" s="45" t="s">
        <v>463</v>
      </c>
      <c r="B64" s="57" t="s">
        <v>558</v>
      </c>
      <c r="C64" s="42" t="s">
        <v>127</v>
      </c>
      <c r="D64" s="437">
        <v>12</v>
      </c>
      <c r="E64" s="448">
        <f>AVERAGE(25.9,29.9,28.75)</f>
        <v>28.18</v>
      </c>
      <c r="F64" s="437">
        <v>150</v>
      </c>
      <c r="G64" s="438">
        <f t="shared" si="1"/>
        <v>352.25</v>
      </c>
    </row>
    <row r="65" spans="1:7" ht="27.5" customHeight="1">
      <c r="A65" s="40" t="s">
        <v>465</v>
      </c>
      <c r="B65" s="469" t="s">
        <v>559</v>
      </c>
      <c r="C65" s="42" t="s">
        <v>127</v>
      </c>
      <c r="D65" s="437">
        <v>12</v>
      </c>
      <c r="E65" s="448">
        <v>34.74</v>
      </c>
      <c r="F65" s="437">
        <v>144</v>
      </c>
      <c r="G65" s="438">
        <f t="shared" si="0"/>
        <v>416.88</v>
      </c>
    </row>
    <row r="66" spans="1:7" ht="34" customHeight="1">
      <c r="A66" s="40" t="s">
        <v>467</v>
      </c>
      <c r="B66" s="469" t="s">
        <v>568</v>
      </c>
      <c r="C66" s="42" t="s">
        <v>127</v>
      </c>
      <c r="D66" s="437">
        <v>12</v>
      </c>
      <c r="E66" s="448">
        <v>40.159999999999997</v>
      </c>
      <c r="F66" s="437">
        <v>84</v>
      </c>
      <c r="G66" s="438">
        <f t="shared" si="0"/>
        <v>281.12</v>
      </c>
    </row>
    <row r="67" spans="1:7" ht="29" customHeight="1">
      <c r="A67" s="467" t="s">
        <v>561</v>
      </c>
      <c r="B67" s="57" t="s">
        <v>560</v>
      </c>
      <c r="C67" s="42" t="s">
        <v>127</v>
      </c>
      <c r="D67" s="437">
        <v>12</v>
      </c>
      <c r="E67" s="448">
        <v>60.07</v>
      </c>
      <c r="F67" s="437">
        <v>108</v>
      </c>
      <c r="G67" s="438">
        <f t="shared" si="0"/>
        <v>540.63</v>
      </c>
    </row>
    <row r="68" spans="1:7" ht="18" customHeight="1">
      <c r="A68" s="468" t="s">
        <v>562</v>
      </c>
      <c r="B68" s="465" t="s">
        <v>128</v>
      </c>
      <c r="C68" s="42" t="s">
        <v>129</v>
      </c>
      <c r="D68" s="437">
        <v>12</v>
      </c>
      <c r="E68" s="448">
        <v>3.83</v>
      </c>
      <c r="F68" s="437">
        <v>260</v>
      </c>
      <c r="G68" s="438">
        <f t="shared" si="0"/>
        <v>82.98</v>
      </c>
    </row>
    <row r="69" spans="1:7" ht="18" customHeight="1">
      <c r="A69" s="468" t="s">
        <v>563</v>
      </c>
      <c r="B69" s="466" t="s">
        <v>460</v>
      </c>
      <c r="C69" s="50" t="s">
        <v>418</v>
      </c>
      <c r="D69" s="437">
        <v>12</v>
      </c>
      <c r="E69" s="448">
        <v>38.68</v>
      </c>
      <c r="F69" s="437">
        <v>0</v>
      </c>
      <c r="G69" s="438">
        <f t="shared" si="0"/>
        <v>0</v>
      </c>
    </row>
    <row r="70" spans="1:7" ht="18" customHeight="1">
      <c r="A70" s="468" t="s">
        <v>564</v>
      </c>
      <c r="B70" s="466" t="s">
        <v>462</v>
      </c>
      <c r="C70" s="50" t="s">
        <v>120</v>
      </c>
      <c r="D70" s="437">
        <v>12</v>
      </c>
      <c r="E70" s="448">
        <v>29.95</v>
      </c>
      <c r="F70" s="437">
        <v>14</v>
      </c>
      <c r="G70" s="438">
        <f t="shared" si="0"/>
        <v>34.94</v>
      </c>
    </row>
    <row r="71" spans="1:7" ht="18" customHeight="1">
      <c r="A71" s="468" t="s">
        <v>565</v>
      </c>
      <c r="B71" s="465" t="s">
        <v>464</v>
      </c>
      <c r="C71" s="51" t="s">
        <v>120</v>
      </c>
      <c r="D71" s="437">
        <v>12</v>
      </c>
      <c r="E71" s="448">
        <v>16.059999999999999</v>
      </c>
      <c r="F71" s="437">
        <v>89</v>
      </c>
      <c r="G71" s="438">
        <f>ROUND((E71*F71)/D71,2)</f>
        <v>119.11</v>
      </c>
    </row>
    <row r="72" spans="1:7" ht="18" customHeight="1">
      <c r="A72" s="468" t="s">
        <v>566</v>
      </c>
      <c r="B72" s="465" t="s">
        <v>466</v>
      </c>
      <c r="C72" s="49" t="s">
        <v>120</v>
      </c>
      <c r="D72" s="437">
        <v>12</v>
      </c>
      <c r="E72" s="448">
        <v>16.579999999999998</v>
      </c>
      <c r="F72" s="437">
        <v>0</v>
      </c>
      <c r="G72" s="438">
        <f>ROUND((E72*F72)/D72,2)</f>
        <v>0</v>
      </c>
    </row>
    <row r="73" spans="1:7" ht="18" customHeight="1">
      <c r="A73" s="468" t="s">
        <v>567</v>
      </c>
      <c r="B73" s="465" t="s">
        <v>468</v>
      </c>
      <c r="C73" s="51" t="s">
        <v>120</v>
      </c>
      <c r="D73" s="437">
        <v>12</v>
      </c>
      <c r="E73" s="448">
        <v>11.54</v>
      </c>
      <c r="F73" s="437">
        <v>119</v>
      </c>
      <c r="G73" s="438">
        <f t="shared" si="0"/>
        <v>114.44</v>
      </c>
    </row>
    <row r="74" spans="1:7" ht="5" customHeight="1"/>
    <row r="75" spans="1:7" s="32" customFormat="1" ht="21.5" customHeight="1">
      <c r="A75" s="605" t="s">
        <v>131</v>
      </c>
      <c r="B75" s="605"/>
      <c r="C75" s="605"/>
      <c r="D75" s="605"/>
      <c r="E75" s="605"/>
      <c r="F75" s="605"/>
      <c r="G75" s="58">
        <f>ROUND(SUM(G11:G73),2)</f>
        <v>16898.82</v>
      </c>
    </row>
    <row r="76" spans="1:7" ht="5" customHeight="1"/>
    <row r="77" spans="1:7" ht="18" customHeight="1">
      <c r="A77" s="598" t="s">
        <v>330</v>
      </c>
      <c r="B77" s="598"/>
      <c r="C77" s="598"/>
      <c r="D77" s="598"/>
      <c r="E77" s="598"/>
      <c r="F77" s="598"/>
      <c r="G77" s="59">
        <f>ROUND(SUM('Área - Produt - Servente'!G27,'Área - Produt - Servente'!K27,'Área - Produt - Servente'!O27,'Área - Produt - Servente'!S27,'Área - Produt - Servente'!W27,'Área - Produt - Servente'!AA27,'Área - Produt - Servente'!AE27,'Área - Produt - Servente'!AI27,'Área - Produt - Servente'!AM27),2)</f>
        <v>18</v>
      </c>
    </row>
    <row r="78" spans="1:7" ht="4.5" customHeight="1"/>
    <row r="79" spans="1:7" s="32" customFormat="1" ht="21.5" customHeight="1">
      <c r="A79" s="606" t="s">
        <v>132</v>
      </c>
      <c r="B79" s="606"/>
      <c r="C79" s="606"/>
      <c r="D79" s="606"/>
      <c r="E79" s="606"/>
      <c r="F79" s="606"/>
      <c r="G79" s="63">
        <f>ROUND(G75/G77,2)</f>
        <v>938.82</v>
      </c>
    </row>
  </sheetData>
  <mergeCells count="8">
    <mergeCell ref="A75:F75"/>
    <mergeCell ref="A77:F77"/>
    <mergeCell ref="A79:F79"/>
    <mergeCell ref="A1:G1"/>
    <mergeCell ref="A2:G2"/>
    <mergeCell ref="A4:F4"/>
    <mergeCell ref="A6:G6"/>
    <mergeCell ref="A8:G8"/>
  </mergeCells>
  <pageMargins left="1.299212598425197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92A1-1BC6-489B-8B1A-0AF12B9954DB}">
  <dimension ref="A1:AY26"/>
  <sheetViews>
    <sheetView showGridLines="0" topLeftCell="A17" zoomScale="85" zoomScaleNormal="85" workbookViewId="0">
      <selection activeCell="J16" sqref="J16"/>
    </sheetView>
  </sheetViews>
  <sheetFormatPr defaultRowHeight="14.5"/>
  <cols>
    <col min="1" max="1" width="7.26953125" style="3" customWidth="1"/>
    <col min="2" max="2" width="40.08984375" style="3" customWidth="1"/>
    <col min="3" max="4" width="16.26953125" style="3" customWidth="1"/>
    <col min="5" max="5" width="12.6328125" style="3" customWidth="1"/>
    <col min="6" max="6" width="16.26953125" style="3" customWidth="1"/>
    <col min="7" max="7" width="20.6328125" style="3" customWidth="1"/>
    <col min="8" max="16384" width="8.7265625" style="3"/>
  </cols>
  <sheetData>
    <row r="1" spans="1:51" s="32" customFormat="1" ht="22" customHeight="1">
      <c r="A1" s="607" t="s">
        <v>0</v>
      </c>
      <c r="B1" s="608"/>
      <c r="C1" s="608"/>
      <c r="D1" s="608"/>
      <c r="E1" s="608"/>
      <c r="F1" s="608"/>
      <c r="G1" s="609"/>
    </row>
    <row r="2" spans="1:51" s="1" customFormat="1" ht="32" customHeight="1">
      <c r="A2" s="610" t="str">
        <f>Insumos!A2</f>
        <v>Contratação de serviços de limpeza asseio e conservação, com fornecimento de material, utensílios e equipamentos, para as unidades jurisdicionadas à Delegacia da Receita Federal do Brasil em Niterói (DRF-NIT)</v>
      </c>
      <c r="B2" s="611"/>
      <c r="C2" s="611"/>
      <c r="D2" s="611"/>
      <c r="E2" s="611"/>
      <c r="F2" s="611"/>
      <c r="G2" s="612"/>
    </row>
    <row r="3" spans="1:51" s="1" customFormat="1" ht="5.5" customHeight="1">
      <c r="G3" s="33"/>
    </row>
    <row r="4" spans="1:51" s="1" customFormat="1" ht="19.5" customHeight="1">
      <c r="A4" s="524" t="s">
        <v>1</v>
      </c>
      <c r="B4" s="525"/>
      <c r="C4" s="525"/>
      <c r="D4" s="525"/>
      <c r="E4" s="525"/>
      <c r="F4" s="526"/>
      <c r="G4" s="34" t="str">
        <f>Instruções!J4</f>
        <v>10707.720194-2025-26</v>
      </c>
    </row>
    <row r="5" spans="1:51" s="1" customFormat="1" ht="6" customHeight="1"/>
    <row r="6" spans="1:51" s="1" customFormat="1" ht="19.5" customHeight="1">
      <c r="A6" s="613" t="s">
        <v>360</v>
      </c>
      <c r="B6" s="614"/>
      <c r="C6" s="614"/>
      <c r="D6" s="614"/>
      <c r="E6" s="614"/>
      <c r="F6" s="614"/>
      <c r="G6" s="615"/>
    </row>
    <row r="7" spans="1:51" ht="8.5" customHeight="1">
      <c r="B7" s="9"/>
      <c r="C7" s="9"/>
      <c r="D7" s="9"/>
      <c r="E7" s="9"/>
      <c r="F7" s="9"/>
      <c r="G7" s="9"/>
    </row>
    <row r="8" spans="1:51" s="32" customFormat="1" ht="22" customHeight="1">
      <c r="A8" s="616" t="s">
        <v>324</v>
      </c>
      <c r="B8" s="617"/>
      <c r="C8" s="617"/>
      <c r="D8" s="617"/>
      <c r="E8" s="617"/>
      <c r="F8" s="617"/>
      <c r="G8" s="618"/>
      <c r="H8" s="35"/>
      <c r="K8" s="36"/>
      <c r="L8" s="37"/>
      <c r="M8" s="38"/>
    </row>
    <row r="9" spans="1:51" ht="8.5" customHeight="1"/>
    <row r="10" spans="1:51" ht="38.5" customHeight="1">
      <c r="A10" s="421" t="s">
        <v>13</v>
      </c>
      <c r="B10" s="422" t="s">
        <v>365</v>
      </c>
      <c r="C10" s="423" t="s">
        <v>65</v>
      </c>
      <c r="D10" s="421" t="s">
        <v>15</v>
      </c>
      <c r="E10" s="421" t="s">
        <v>14</v>
      </c>
      <c r="F10" s="421" t="s">
        <v>329</v>
      </c>
      <c r="G10" s="421" t="s">
        <v>331</v>
      </c>
      <c r="H10" s="29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</row>
    <row r="11" spans="1:51" ht="18" customHeight="1">
      <c r="A11" s="40" t="s">
        <v>469</v>
      </c>
      <c r="B11" s="46" t="s">
        <v>470</v>
      </c>
      <c r="C11" s="51" t="s">
        <v>120</v>
      </c>
      <c r="D11" s="60">
        <v>30</v>
      </c>
      <c r="E11" s="449">
        <v>83.96</v>
      </c>
      <c r="F11" s="43">
        <v>35</v>
      </c>
      <c r="G11" s="44">
        <f>ROUND((E11*F11)/D11,2)</f>
        <v>97.95</v>
      </c>
    </row>
    <row r="12" spans="1:51" ht="18" customHeight="1">
      <c r="A12" s="40" t="s">
        <v>471</v>
      </c>
      <c r="B12" s="52" t="s">
        <v>472</v>
      </c>
      <c r="C12" s="42" t="s">
        <v>120</v>
      </c>
      <c r="D12" s="60">
        <v>60</v>
      </c>
      <c r="E12" s="449">
        <v>26.37</v>
      </c>
      <c r="F12" s="43">
        <v>4</v>
      </c>
      <c r="G12" s="44">
        <f t="shared" ref="G12:G20" si="0">ROUND((E12*F12)/D12,2)</f>
        <v>1.76</v>
      </c>
    </row>
    <row r="13" spans="1:51" ht="18" customHeight="1">
      <c r="A13" s="40" t="s">
        <v>473</v>
      </c>
      <c r="B13" s="52" t="s">
        <v>474</v>
      </c>
      <c r="C13" s="61" t="s">
        <v>120</v>
      </c>
      <c r="D13" s="60">
        <v>60</v>
      </c>
      <c r="E13" s="449">
        <v>40.07</v>
      </c>
      <c r="F13" s="43">
        <v>128</v>
      </c>
      <c r="G13" s="44">
        <f t="shared" si="0"/>
        <v>85.48</v>
      </c>
    </row>
    <row r="14" spans="1:51" ht="30" customHeight="1">
      <c r="A14" s="40" t="s">
        <v>475</v>
      </c>
      <c r="B14" s="52" t="s">
        <v>476</v>
      </c>
      <c r="C14" s="61" t="s">
        <v>120</v>
      </c>
      <c r="D14" s="60">
        <v>60</v>
      </c>
      <c r="E14" s="449">
        <v>45.64</v>
      </c>
      <c r="F14" s="43">
        <v>41</v>
      </c>
      <c r="G14" s="44">
        <f t="shared" si="0"/>
        <v>31.19</v>
      </c>
    </row>
    <row r="15" spans="1:51" ht="18" customHeight="1">
      <c r="A15" s="40" t="s">
        <v>477</v>
      </c>
      <c r="B15" s="62" t="s">
        <v>478</v>
      </c>
      <c r="C15" s="61" t="s">
        <v>120</v>
      </c>
      <c r="D15" s="60">
        <v>60</v>
      </c>
      <c r="E15" s="449">
        <v>24.91</v>
      </c>
      <c r="F15" s="43">
        <v>36</v>
      </c>
      <c r="G15" s="44">
        <f t="shared" si="0"/>
        <v>14.95</v>
      </c>
    </row>
    <row r="16" spans="1:51" ht="18" customHeight="1">
      <c r="A16" s="40" t="s">
        <v>479</v>
      </c>
      <c r="B16" s="52" t="s">
        <v>480</v>
      </c>
      <c r="C16" s="61" t="s">
        <v>120</v>
      </c>
      <c r="D16" s="60">
        <v>60</v>
      </c>
      <c r="E16" s="449">
        <v>218.3</v>
      </c>
      <c r="F16" s="43">
        <v>7</v>
      </c>
      <c r="G16" s="44">
        <f t="shared" si="0"/>
        <v>25.47</v>
      </c>
    </row>
    <row r="17" spans="1:7" ht="18" customHeight="1">
      <c r="A17" s="40" t="s">
        <v>481</v>
      </c>
      <c r="B17" s="52" t="s">
        <v>482</v>
      </c>
      <c r="C17" s="61" t="s">
        <v>120</v>
      </c>
      <c r="D17" s="60">
        <v>60</v>
      </c>
      <c r="E17" s="449">
        <v>2350.09</v>
      </c>
      <c r="F17" s="43">
        <v>5</v>
      </c>
      <c r="G17" s="44">
        <f t="shared" si="0"/>
        <v>195.84</v>
      </c>
    </row>
    <row r="18" spans="1:7" ht="18" customHeight="1">
      <c r="A18" s="40" t="s">
        <v>483</v>
      </c>
      <c r="B18" s="52" t="s">
        <v>484</v>
      </c>
      <c r="C18" s="61" t="s">
        <v>120</v>
      </c>
      <c r="D18" s="60">
        <v>60</v>
      </c>
      <c r="E18" s="449">
        <v>552.42999999999995</v>
      </c>
      <c r="F18" s="43">
        <v>9</v>
      </c>
      <c r="G18" s="44">
        <f t="shared" si="0"/>
        <v>82.86</v>
      </c>
    </row>
    <row r="19" spans="1:7" ht="18" customHeight="1">
      <c r="A19" s="40" t="s">
        <v>485</v>
      </c>
      <c r="B19" s="52" t="s">
        <v>486</v>
      </c>
      <c r="C19" s="42" t="s">
        <v>120</v>
      </c>
      <c r="D19" s="60">
        <v>60</v>
      </c>
      <c r="E19" s="449">
        <v>189.38</v>
      </c>
      <c r="F19" s="43">
        <v>7</v>
      </c>
      <c r="G19" s="44">
        <f t="shared" si="0"/>
        <v>22.09</v>
      </c>
    </row>
    <row r="20" spans="1:7" ht="18" customHeight="1">
      <c r="A20" s="40" t="s">
        <v>487</v>
      </c>
      <c r="B20" s="52" t="s">
        <v>488</v>
      </c>
      <c r="C20" s="61" t="s">
        <v>120</v>
      </c>
      <c r="D20" s="60">
        <v>30</v>
      </c>
      <c r="E20" s="449">
        <v>1239.06</v>
      </c>
      <c r="F20" s="43">
        <v>12</v>
      </c>
      <c r="G20" s="44">
        <f t="shared" si="0"/>
        <v>495.62</v>
      </c>
    </row>
    <row r="21" spans="1:7" ht="8.5" customHeight="1"/>
    <row r="22" spans="1:7" s="32" customFormat="1" ht="18.5" customHeight="1">
      <c r="A22" s="605" t="s">
        <v>332</v>
      </c>
      <c r="B22" s="605"/>
      <c r="C22" s="605"/>
      <c r="D22" s="605"/>
      <c r="E22" s="605"/>
      <c r="F22" s="605"/>
      <c r="G22" s="58">
        <f>ROUND(SUM(G11:G20),2)</f>
        <v>1053.21</v>
      </c>
    </row>
    <row r="23" spans="1:7" ht="7.5" customHeight="1"/>
    <row r="24" spans="1:7" ht="18" customHeight="1">
      <c r="A24" s="598" t="s">
        <v>330</v>
      </c>
      <c r="B24" s="598"/>
      <c r="C24" s="598"/>
      <c r="D24" s="598"/>
      <c r="E24" s="598"/>
      <c r="F24" s="598"/>
      <c r="G24" s="59">
        <f>ROUND(SUM('Área - Produt - Servente'!G27,'Área - Produt - Servente'!K27,'Área - Produt - Servente'!O27,'Área - Produt - Servente'!S27,'Área - Produt - Servente'!W27,'Área - Produt - Servente'!AA27,'Área - Produt - Servente'!AE27,'Área - Produt - Servente'!AI27,'Área - Produt - Servente'!AM27),2)</f>
        <v>18</v>
      </c>
    </row>
    <row r="25" spans="1:7" ht="7.5" customHeight="1"/>
    <row r="26" spans="1:7" s="32" customFormat="1" ht="22" customHeight="1">
      <c r="A26" s="606" t="s">
        <v>508</v>
      </c>
      <c r="B26" s="606"/>
      <c r="C26" s="606"/>
      <c r="D26" s="606"/>
      <c r="E26" s="606"/>
      <c r="F26" s="606"/>
      <c r="G26" s="63">
        <f>ROUND(G22/G24,2)</f>
        <v>58.51</v>
      </c>
    </row>
  </sheetData>
  <mergeCells count="8">
    <mergeCell ref="A22:F22"/>
    <mergeCell ref="A24:F24"/>
    <mergeCell ref="A26:F26"/>
    <mergeCell ref="A1:G1"/>
    <mergeCell ref="A2:G2"/>
    <mergeCell ref="A4:F4"/>
    <mergeCell ref="A6:G6"/>
    <mergeCell ref="A8:G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42"/>
  <sheetViews>
    <sheetView showGridLines="0" topLeftCell="A22" zoomScale="70" zoomScaleNormal="70" workbookViewId="0">
      <selection activeCell="H17" sqref="H17"/>
    </sheetView>
  </sheetViews>
  <sheetFormatPr defaultRowHeight="14.5"/>
  <cols>
    <col min="1" max="1" width="18.26953125" style="66" customWidth="1"/>
    <col min="2" max="2" width="9.1796875" style="66" customWidth="1"/>
    <col min="3" max="3" width="7.1796875" style="66" customWidth="1"/>
    <col min="4" max="5" width="7" style="66" customWidth="1"/>
    <col min="6" max="6" width="28.90625" style="66" bestFit="1" customWidth="1"/>
    <col min="7" max="7" width="9.90625" style="66" customWidth="1"/>
    <col min="8" max="8" width="18.90625" style="66" customWidth="1"/>
    <col min="9" max="9" width="21.453125" style="66" customWidth="1"/>
    <col min="10" max="10" width="22.1796875" style="66" customWidth="1"/>
    <col min="11" max="11" width="21.54296875" style="66" customWidth="1"/>
    <col min="12" max="12" width="16.08984375" style="66" customWidth="1"/>
    <col min="13" max="16384" width="8.7265625" style="66"/>
  </cols>
  <sheetData>
    <row r="1" spans="1:12" s="64" customFormat="1" ht="22.5" customHeight="1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</row>
    <row r="2" spans="1:12" s="64" customFormat="1" ht="32.15" customHeight="1">
      <c r="A2" s="481" t="str">
        <f>'Benefícios e Outros Dados'!A2</f>
        <v>Contratação de serviços de limpeza asseio e conservação, com fornecimento de material, utensílios e equipamentos, para as unidades jurisdicionadas à Delegacia da Receita Federal do Brasil em Niterói (DRF-NIT)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</row>
    <row r="3" spans="1:12" s="64" customFormat="1" ht="6" customHeight="1"/>
    <row r="4" spans="1:12" s="64" customFormat="1" ht="18" customHeight="1">
      <c r="A4" s="524" t="s">
        <v>1</v>
      </c>
      <c r="B4" s="525"/>
      <c r="C4" s="525"/>
      <c r="D4" s="525"/>
      <c r="E4" s="525"/>
      <c r="F4" s="525"/>
      <c r="G4" s="525"/>
      <c r="H4" s="525"/>
      <c r="I4" s="526"/>
      <c r="J4" s="621" t="str">
        <f>CCT!J4</f>
        <v>10707.720194-2025-26</v>
      </c>
      <c r="K4" s="621"/>
      <c r="L4" s="621"/>
    </row>
    <row r="5" spans="1:12" s="64" customFormat="1" ht="6.5" customHeight="1"/>
    <row r="6" spans="1:12" s="64" customFormat="1" ht="18" customHeight="1">
      <c r="A6" s="477" t="s">
        <v>360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</row>
    <row r="7" spans="1:12" s="64" customFormat="1" ht="10" customHeight="1">
      <c r="A7" s="92"/>
      <c r="B7" s="92"/>
      <c r="C7" s="92"/>
      <c r="D7" s="92"/>
      <c r="E7" s="92"/>
      <c r="F7" s="92"/>
      <c r="G7" s="92"/>
      <c r="H7" s="92"/>
    </row>
    <row r="8" spans="1:12" ht="22" customHeight="1">
      <c r="A8" s="619" t="s">
        <v>200</v>
      </c>
      <c r="B8" s="619"/>
      <c r="C8" s="619"/>
      <c r="D8" s="619"/>
      <c r="E8" s="619"/>
      <c r="F8" s="619"/>
      <c r="G8" s="619"/>
      <c r="H8" s="619"/>
      <c r="I8" s="619"/>
      <c r="J8" s="619"/>
      <c r="K8" s="619"/>
      <c r="L8" s="619"/>
    </row>
    <row r="9" spans="1:12" ht="34.5" customHeight="1">
      <c r="A9" s="104"/>
      <c r="B9" s="105"/>
      <c r="C9" s="105"/>
      <c r="D9" s="105"/>
      <c r="E9" s="105"/>
      <c r="F9" s="105"/>
      <c r="G9" s="105"/>
      <c r="H9" s="106" t="s">
        <v>136</v>
      </c>
      <c r="I9" s="107" t="s">
        <v>139</v>
      </c>
      <c r="J9" s="108" t="s">
        <v>141</v>
      </c>
      <c r="K9" s="109" t="s">
        <v>143</v>
      </c>
      <c r="L9" s="110" t="s">
        <v>144</v>
      </c>
    </row>
    <row r="10" spans="1:12" ht="5.5" customHeight="1">
      <c r="A10" s="104"/>
      <c r="B10" s="105"/>
      <c r="C10" s="105"/>
      <c r="D10" s="105"/>
      <c r="E10" s="105"/>
      <c r="F10" s="105"/>
      <c r="G10" s="105"/>
      <c r="H10" s="35"/>
      <c r="I10" s="35"/>
    </row>
    <row r="11" spans="1:12" ht="24.5" customHeight="1">
      <c r="A11" s="620" t="s">
        <v>201</v>
      </c>
      <c r="B11" s="620"/>
      <c r="C11" s="620"/>
      <c r="D11" s="620"/>
      <c r="E11" s="620"/>
      <c r="F11" s="620"/>
      <c r="G11" s="620"/>
      <c r="H11" s="34">
        <v>100</v>
      </c>
      <c r="I11" s="34">
        <v>100</v>
      </c>
      <c r="J11" s="34">
        <v>215</v>
      </c>
      <c r="K11" s="34">
        <v>430</v>
      </c>
      <c r="L11" s="111">
        <v>11400</v>
      </c>
    </row>
    <row r="12" spans="1:12" ht="42" customHeight="1">
      <c r="A12" s="104"/>
      <c r="B12" s="105"/>
      <c r="C12" s="105"/>
      <c r="D12" s="105"/>
      <c r="E12" s="105"/>
      <c r="F12" s="105"/>
      <c r="G12" s="105"/>
      <c r="H12" s="112" t="s">
        <v>202</v>
      </c>
      <c r="I12" s="112" t="s">
        <v>202</v>
      </c>
      <c r="J12" s="112" t="s">
        <v>202</v>
      </c>
      <c r="K12" s="112" t="s">
        <v>202</v>
      </c>
      <c r="L12" s="112" t="s">
        <v>202</v>
      </c>
    </row>
    <row r="13" spans="1:12" ht="20" customHeight="1">
      <c r="A13" s="643" t="s">
        <v>354</v>
      </c>
      <c r="B13" s="643"/>
      <c r="C13" s="643"/>
      <c r="D13" s="643"/>
      <c r="E13" s="643"/>
      <c r="F13" s="643"/>
      <c r="G13" s="643"/>
      <c r="H13" s="450">
        <v>1490</v>
      </c>
      <c r="I13" s="450">
        <v>1490</v>
      </c>
      <c r="J13" s="450">
        <v>2279</v>
      </c>
      <c r="K13" s="450">
        <v>2713.3</v>
      </c>
      <c r="L13" s="450">
        <v>3306</v>
      </c>
    </row>
    <row r="14" spans="1:12" ht="13" customHeight="1"/>
    <row r="15" spans="1:12" ht="20.149999999999999" customHeight="1">
      <c r="A15" s="628" t="s">
        <v>356</v>
      </c>
      <c r="B15" s="628"/>
      <c r="C15" s="628"/>
      <c r="D15" s="628"/>
      <c r="E15" s="628"/>
      <c r="F15" s="628"/>
      <c r="G15" s="628"/>
      <c r="H15" s="113">
        <f>ROUND(H13/H11,2)</f>
        <v>14.9</v>
      </c>
      <c r="I15" s="113">
        <f t="shared" ref="I15:L15" si="0">ROUND(I13/I11,2)</f>
        <v>14.9</v>
      </c>
      <c r="J15" s="113">
        <f t="shared" si="0"/>
        <v>10.6</v>
      </c>
      <c r="K15" s="113">
        <f t="shared" si="0"/>
        <v>6.31</v>
      </c>
      <c r="L15" s="113">
        <f t="shared" si="0"/>
        <v>0.28999999999999998</v>
      </c>
    </row>
    <row r="16" spans="1:12" ht="7.5" customHeight="1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8" customHeight="1">
      <c r="A17" s="619" t="s">
        <v>203</v>
      </c>
      <c r="B17" s="619"/>
      <c r="C17" s="619"/>
      <c r="D17" s="619"/>
      <c r="E17" s="619"/>
      <c r="F17" s="619"/>
      <c r="G17" s="619"/>
      <c r="H17" s="115"/>
      <c r="I17" s="116"/>
      <c r="J17" s="116"/>
      <c r="K17" s="116"/>
      <c r="L17" s="116"/>
    </row>
    <row r="18" spans="1:12" ht="18" customHeight="1">
      <c r="A18" s="633" t="s">
        <v>204</v>
      </c>
      <c r="B18" s="629" t="s">
        <v>205</v>
      </c>
      <c r="C18" s="630"/>
      <c r="D18" s="630"/>
      <c r="E18" s="631"/>
      <c r="F18" s="632">
        <v>4.4900000000000002E-2</v>
      </c>
      <c r="G18" s="632"/>
      <c r="H18" s="44">
        <f>ROUND(F18*$H$15,2)</f>
        <v>0.67</v>
      </c>
      <c r="I18" s="44">
        <f>ROUND(F18*$I$15,2)</f>
        <v>0.67</v>
      </c>
      <c r="J18" s="44">
        <f>ROUND(F18*$J$15,2)</f>
        <v>0.48</v>
      </c>
      <c r="K18" s="44">
        <f>ROUND(F18*$K$15,2)</f>
        <v>0.28000000000000003</v>
      </c>
      <c r="L18" s="44">
        <f>ROUND(F18*$L$15,2)</f>
        <v>0.01</v>
      </c>
    </row>
    <row r="19" spans="1:12" ht="18.649999999999999" customHeight="1">
      <c r="A19" s="634"/>
      <c r="B19" s="629" t="s">
        <v>206</v>
      </c>
      <c r="C19" s="630"/>
      <c r="D19" s="630"/>
      <c r="E19" s="631"/>
      <c r="F19" s="632">
        <v>1.11E-2</v>
      </c>
      <c r="G19" s="632"/>
      <c r="H19" s="44">
        <f>ROUND(F19*$H$15,2)</f>
        <v>0.17</v>
      </c>
      <c r="I19" s="44">
        <f>ROUND(F19*$I$15,2)</f>
        <v>0.17</v>
      </c>
      <c r="J19" s="44">
        <f>ROUND(F19*$J$15,2)</f>
        <v>0.12</v>
      </c>
      <c r="K19" s="44">
        <f>ROUND(F19*$K$15,2)</f>
        <v>7.0000000000000007E-2</v>
      </c>
      <c r="L19" s="117">
        <f>ROUND(F19*$L$15,4)</f>
        <v>3.2000000000000002E-3</v>
      </c>
    </row>
    <row r="20" spans="1:12" ht="27" customHeight="1">
      <c r="A20" s="634"/>
      <c r="B20" s="635" t="s">
        <v>207</v>
      </c>
      <c r="C20" s="636"/>
      <c r="D20" s="636"/>
      <c r="E20" s="637"/>
      <c r="F20" s="632">
        <v>5.9299999999999999E-2</v>
      </c>
      <c r="G20" s="632"/>
      <c r="H20" s="44">
        <f>ROUND(F20*$H$15,2)</f>
        <v>0.88</v>
      </c>
      <c r="I20" s="44">
        <f>ROUND(F20*$I$15,2)</f>
        <v>0.88</v>
      </c>
      <c r="J20" s="44">
        <f>ROUND(F20*$J$15,2)</f>
        <v>0.63</v>
      </c>
      <c r="K20" s="44">
        <f>ROUND(F20*$K$15,2)</f>
        <v>0.37</v>
      </c>
      <c r="L20" s="44">
        <f>ROUND(F20*$L$15,2)</f>
        <v>0.02</v>
      </c>
    </row>
    <row r="21" spans="1:12" ht="18" customHeight="1">
      <c r="A21" s="634"/>
      <c r="B21" s="638" t="s">
        <v>209</v>
      </c>
      <c r="C21" s="638"/>
      <c r="D21" s="639" t="s">
        <v>74</v>
      </c>
      <c r="E21" s="640"/>
      <c r="F21" s="118" t="s">
        <v>136</v>
      </c>
      <c r="G21" s="119">
        <f>'[1]Benefícios e Outros Dados'!K45</f>
        <v>0.05</v>
      </c>
      <c r="H21" s="44">
        <f>ROUND(G21*(($H$15+$H$18+$H$19+$H$20)/(1-(G21+$F$26+$F$27))),2)</f>
        <v>0.91</v>
      </c>
      <c r="I21" s="622"/>
      <c r="J21" s="623"/>
      <c r="K21" s="623"/>
      <c r="L21" s="624"/>
    </row>
    <row r="22" spans="1:12" ht="18" customHeight="1">
      <c r="A22" s="634"/>
      <c r="B22" s="638"/>
      <c r="C22" s="638"/>
      <c r="D22" s="573"/>
      <c r="E22" s="575"/>
      <c r="F22" s="120" t="s">
        <v>139</v>
      </c>
      <c r="G22" s="119">
        <f>'[1]Benefícios e Outros Dados'!K51</f>
        <v>0.05</v>
      </c>
      <c r="H22" s="625"/>
      <c r="I22" s="44">
        <f>ROUND(G22*(($I$15+$I$18+$I$19+$I$20)/(1-(G22+$F$26+$F$27))),2)</f>
        <v>0.91</v>
      </c>
      <c r="J22" s="622"/>
      <c r="K22" s="623"/>
      <c r="L22" s="624"/>
    </row>
    <row r="23" spans="1:12" ht="18" customHeight="1">
      <c r="A23" s="634"/>
      <c r="B23" s="638"/>
      <c r="C23" s="638"/>
      <c r="D23" s="573"/>
      <c r="E23" s="575"/>
      <c r="F23" s="121" t="s">
        <v>141</v>
      </c>
      <c r="G23" s="119">
        <f>'[1]Benefícios e Outros Dados'!K55</f>
        <v>0.02</v>
      </c>
      <c r="H23" s="626"/>
      <c r="I23" s="625"/>
      <c r="J23" s="44">
        <f>ROUND(G23*(($J$15+$J$18+$J$19+$J$20)/(1-(G23+$F$26+$F$27))),2)</f>
        <v>0.25</v>
      </c>
      <c r="K23" s="622"/>
      <c r="L23" s="624"/>
    </row>
    <row r="24" spans="1:12" ht="18" customHeight="1">
      <c r="A24" s="634"/>
      <c r="B24" s="638"/>
      <c r="C24" s="638"/>
      <c r="D24" s="573"/>
      <c r="E24" s="575"/>
      <c r="F24" s="122" t="s">
        <v>143</v>
      </c>
      <c r="G24" s="119">
        <f>'[1]Benefícios e Outros Dados'!K59</f>
        <v>0.05</v>
      </c>
      <c r="H24" s="626"/>
      <c r="I24" s="626"/>
      <c r="J24" s="625"/>
      <c r="K24" s="44">
        <f>ROUND(G24*(($K$15+$K$18+$K$19+$K$20)/(1-(G24+$F$26+$F$27))),2)</f>
        <v>0.38</v>
      </c>
      <c r="L24" s="44"/>
    </row>
    <row r="25" spans="1:12" ht="18" customHeight="1">
      <c r="A25" s="634"/>
      <c r="B25" s="638"/>
      <c r="C25" s="638"/>
      <c r="D25" s="580"/>
      <c r="E25" s="582"/>
      <c r="F25" s="123" t="s">
        <v>144</v>
      </c>
      <c r="G25" s="119">
        <f>'[1]Benefícios e Outros Dados'!K61</f>
        <v>0.04</v>
      </c>
      <c r="H25" s="627"/>
      <c r="I25" s="627"/>
      <c r="J25" s="627"/>
      <c r="K25" s="44"/>
      <c r="L25" s="44">
        <f>ROUND(G25*(($L$15+$L$18+$L$19+$L$20)/(1-(G25+$F$26+$F$27))),2)</f>
        <v>0.01</v>
      </c>
    </row>
    <row r="26" spans="1:12" ht="18" customHeight="1">
      <c r="A26" s="634"/>
      <c r="B26" s="638"/>
      <c r="C26" s="638"/>
      <c r="D26" s="629" t="s">
        <v>29</v>
      </c>
      <c r="E26" s="631"/>
      <c r="F26" s="645">
        <v>6.4999999999999997E-3</v>
      </c>
      <c r="G26" s="645"/>
      <c r="H26" s="44">
        <f>ROUND(F26*(($H$15+$H$18+$H$19+$H$20)/(1-(G21+$F$26+$F$27))),2)</f>
        <v>0.12</v>
      </c>
      <c r="I26" s="44">
        <f>ROUND(F26*(($I$15+$I$18+$I$19+$I$20)/(1-(G22+$F$26+$F$27))),2)</f>
        <v>0.12</v>
      </c>
      <c r="J26" s="44">
        <f>ROUND(F26*(($J$15+$J$18+$J$19+$J$20)/(1-(G23+$F$26+$F$27))),2)</f>
        <v>0.08</v>
      </c>
      <c r="K26" s="44">
        <f>ROUND(F26*(($K$15+$K$18+$K$19+$K$20)/(1-(G24+$F$26+$F$27))),2)</f>
        <v>0.05</v>
      </c>
      <c r="L26" s="124">
        <f>ROUND(F26*(($L$15+$L$18+$L$19+$L$20)/(1-(G25+$F$26+$F$27))),4)</f>
        <v>2.3E-3</v>
      </c>
    </row>
    <row r="27" spans="1:12" ht="18" customHeight="1">
      <c r="A27" s="634"/>
      <c r="B27" s="638"/>
      <c r="C27" s="638"/>
      <c r="D27" s="598" t="s">
        <v>30</v>
      </c>
      <c r="E27" s="598"/>
      <c r="F27" s="645">
        <v>0.03</v>
      </c>
      <c r="G27" s="645"/>
      <c r="H27" s="44">
        <f>ROUND(F27*(($H$15+$H$18+$H$19+$H$20)/(1-(G21+$F$26+$F$27))),2)</f>
        <v>0.55000000000000004</v>
      </c>
      <c r="I27" s="44">
        <f>ROUND(F27*(($I$15+$I$18+$I$19+$I$20)/(1-(G22+$F$26+$F$27))),2)</f>
        <v>0.55000000000000004</v>
      </c>
      <c r="J27" s="44">
        <f>ROUND(F27*(($J$15+$J$18+$J$19+$J$20)/(1-(G23+$F$26+$F$27))),2)</f>
        <v>0.38</v>
      </c>
      <c r="K27" s="44">
        <f>ROUND(F27*(($K$15+$K$18+$K$19+$K$20)/(1-(G24+$F$26+$F$27))),2)</f>
        <v>0.23</v>
      </c>
      <c r="L27" s="44">
        <f>ROUND(F27*((L$15+$L$18+$L$19+$L$20)/(1-(G25+$F$26+$F$27))),2)</f>
        <v>0.01</v>
      </c>
    </row>
    <row r="28" spans="1:12" ht="7.5" customHeigh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s="125" customFormat="1" ht="3" customHeight="1"/>
    <row r="30" spans="1:12" ht="37" customHeight="1" thickBot="1">
      <c r="A30" s="646" t="s">
        <v>509</v>
      </c>
      <c r="B30" s="646"/>
      <c r="C30" s="646"/>
      <c r="D30" s="646"/>
      <c r="E30" s="646"/>
      <c r="F30" s="646"/>
      <c r="G30" s="646"/>
      <c r="H30" s="126">
        <f>ROUND(SUM(H15,H18,H19,H20,H21,H26,H27),2)</f>
        <v>18.2</v>
      </c>
      <c r="I30" s="126">
        <f>ROUND(SUM(I15,I18,I19,I20,I22,I26,I27),2)</f>
        <v>18.2</v>
      </c>
      <c r="J30" s="126">
        <f>ROUND(SUM(J15,J18,J19,J20,J23,J26,J27),2)</f>
        <v>12.54</v>
      </c>
      <c r="K30" s="126">
        <f>ROUND(SUM(K15,K18,K19,K20,K24,K26,K27),2)</f>
        <v>7.69</v>
      </c>
      <c r="L30" s="127">
        <f>ROUND(SUM(L15,L18,L19,L20,L25,L26,L27),2)</f>
        <v>0.35</v>
      </c>
    </row>
    <row r="31" spans="1:12" ht="8.5" customHeight="1"/>
    <row r="32" spans="1:12" ht="24.5" customHeight="1">
      <c r="A32" s="644" t="s">
        <v>201</v>
      </c>
      <c r="B32" s="644"/>
      <c r="C32" s="644"/>
      <c r="D32" s="644"/>
      <c r="E32" s="644"/>
      <c r="F32" s="644"/>
      <c r="G32" s="644"/>
      <c r="H32" s="34">
        <f>H11</f>
        <v>100</v>
      </c>
      <c r="I32" s="34">
        <f t="shared" ref="I32:L32" si="1">I11</f>
        <v>100</v>
      </c>
      <c r="J32" s="34">
        <f t="shared" si="1"/>
        <v>215</v>
      </c>
      <c r="K32" s="34">
        <f t="shared" si="1"/>
        <v>430</v>
      </c>
      <c r="L32" s="111">
        <f t="shared" si="1"/>
        <v>11400</v>
      </c>
    </row>
    <row r="33" spans="1:12" ht="8.5" customHeight="1"/>
    <row r="34" spans="1:12" ht="20" customHeight="1">
      <c r="A34" s="628" t="s">
        <v>355</v>
      </c>
      <c r="B34" s="628"/>
      <c r="C34" s="628"/>
      <c r="D34" s="628"/>
      <c r="E34" s="628"/>
      <c r="F34" s="628"/>
      <c r="G34" s="628"/>
      <c r="H34" s="44">
        <f>H30*H32</f>
        <v>1820</v>
      </c>
      <c r="I34" s="44">
        <f t="shared" ref="I34:L34" si="2">I30*I32</f>
        <v>1820</v>
      </c>
      <c r="J34" s="44">
        <f t="shared" si="2"/>
        <v>2696.1</v>
      </c>
      <c r="K34" s="44">
        <f t="shared" si="2"/>
        <v>3306.7</v>
      </c>
      <c r="L34" s="44">
        <f t="shared" si="2"/>
        <v>3990</v>
      </c>
    </row>
    <row r="35" spans="1:12" ht="8.5" customHeight="1"/>
    <row r="36" spans="1:12" ht="17.5" customHeight="1">
      <c r="A36" s="647" t="s">
        <v>349</v>
      </c>
      <c r="B36" s="647"/>
      <c r="C36" s="647"/>
      <c r="D36" s="647"/>
      <c r="E36" s="647"/>
      <c r="F36" s="599">
        <f>'Benefícios e Outros Dados'!I9</f>
        <v>60</v>
      </c>
      <c r="G36" s="599"/>
      <c r="H36" s="604"/>
      <c r="I36" s="604"/>
      <c r="J36" s="604"/>
      <c r="K36" s="604"/>
      <c r="L36" s="604"/>
    </row>
    <row r="37" spans="1:12" ht="8.5" customHeight="1"/>
    <row r="38" spans="1:12" ht="22" customHeight="1">
      <c r="A38" s="641" t="s">
        <v>357</v>
      </c>
      <c r="B38" s="641"/>
      <c r="C38" s="641"/>
      <c r="D38" s="641"/>
      <c r="E38" s="641"/>
      <c r="F38" s="641"/>
      <c r="G38" s="641"/>
      <c r="H38" s="128">
        <f>ROUND((6/12)*F36,0)</f>
        <v>30</v>
      </c>
      <c r="I38" s="128">
        <f>ROUND((6/12)*F36,0)</f>
        <v>30</v>
      </c>
      <c r="J38" s="128">
        <f>ROUND((6/12)*F36,0)</f>
        <v>30</v>
      </c>
      <c r="K38" s="128">
        <f>ROUND((6/12)*F36,0)</f>
        <v>30</v>
      </c>
      <c r="L38" s="34">
        <f>ROUND((12/12)*F36,0)</f>
        <v>60</v>
      </c>
    </row>
    <row r="39" spans="1:12" ht="8.5" customHeight="1"/>
    <row r="40" spans="1:12" ht="27" customHeight="1">
      <c r="A40" s="642" t="s">
        <v>346</v>
      </c>
      <c r="B40" s="642"/>
      <c r="C40" s="642"/>
      <c r="D40" s="642"/>
      <c r="E40" s="642"/>
      <c r="F40" s="642"/>
      <c r="G40" s="642"/>
      <c r="H40" s="129">
        <f>ROUND(H32*H38*H30,2)</f>
        <v>54600</v>
      </c>
      <c r="I40" s="129">
        <f t="shared" ref="I40:L40" si="3">ROUND(I32*I38*I30,2)</f>
        <v>54600</v>
      </c>
      <c r="J40" s="129">
        <f t="shared" si="3"/>
        <v>80883</v>
      </c>
      <c r="K40" s="129">
        <f t="shared" si="3"/>
        <v>99201</v>
      </c>
      <c r="L40" s="129">
        <f t="shared" si="3"/>
        <v>239400</v>
      </c>
    </row>
    <row r="42" spans="1:12">
      <c r="J42" s="130"/>
      <c r="K42" s="130"/>
      <c r="L42" s="130"/>
    </row>
  </sheetData>
  <mergeCells count="37">
    <mergeCell ref="H36:L36"/>
    <mergeCell ref="A38:G38"/>
    <mergeCell ref="A40:G40"/>
    <mergeCell ref="A13:G13"/>
    <mergeCell ref="A32:G32"/>
    <mergeCell ref="D27:E27"/>
    <mergeCell ref="F27:G27"/>
    <mergeCell ref="A30:G30"/>
    <mergeCell ref="A36:E36"/>
    <mergeCell ref="F36:G36"/>
    <mergeCell ref="J22:L22"/>
    <mergeCell ref="I23:I25"/>
    <mergeCell ref="K23:L23"/>
    <mergeCell ref="J24:J25"/>
    <mergeCell ref="D26:E26"/>
    <mergeCell ref="F26:G26"/>
    <mergeCell ref="A34:G34"/>
    <mergeCell ref="A18:A27"/>
    <mergeCell ref="B19:E19"/>
    <mergeCell ref="F19:G19"/>
    <mergeCell ref="B20:E20"/>
    <mergeCell ref="F20:G20"/>
    <mergeCell ref="B21:C27"/>
    <mergeCell ref="D21:E25"/>
    <mergeCell ref="I21:L21"/>
    <mergeCell ref="H22:H25"/>
    <mergeCell ref="A15:G15"/>
    <mergeCell ref="B18:E18"/>
    <mergeCell ref="F18:G18"/>
    <mergeCell ref="A17:G17"/>
    <mergeCell ref="A8:L8"/>
    <mergeCell ref="A11:G11"/>
    <mergeCell ref="A4:I4"/>
    <mergeCell ref="A1:L1"/>
    <mergeCell ref="A2:L2"/>
    <mergeCell ref="J4:L4"/>
    <mergeCell ref="A6:L6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A923-5182-4EC9-9F32-DC020E6EECED}">
  <sheetPr>
    <pageSetUpPr fitToPage="1"/>
  </sheetPr>
  <dimension ref="A1:AN29"/>
  <sheetViews>
    <sheetView showGridLines="0" zoomScale="85" zoomScaleNormal="85" workbookViewId="0">
      <selection activeCell="E10" sqref="E10"/>
    </sheetView>
  </sheetViews>
  <sheetFormatPr defaultRowHeight="15.5"/>
  <cols>
    <col min="1" max="1" width="11.6328125" style="66" customWidth="1"/>
    <col min="2" max="2" width="29.81640625" style="66" customWidth="1"/>
    <col min="3" max="3" width="14.7265625" style="66" customWidth="1"/>
    <col min="4" max="4" width="16.08984375" style="66" customWidth="1"/>
    <col min="5" max="5" width="1.453125" style="66" customWidth="1"/>
    <col min="6" max="6" width="13" style="66" customWidth="1"/>
    <col min="7" max="7" width="21.7265625" style="66" customWidth="1"/>
    <col min="8" max="8" width="17.453125" style="66" customWidth="1"/>
    <col min="9" max="9" width="1.453125" style="66" customWidth="1"/>
    <col min="10" max="10" width="12.453125" style="66" customWidth="1"/>
    <col min="11" max="11" width="20.1796875" style="66" customWidth="1"/>
    <col min="12" max="12" width="15.6328125" style="66" customWidth="1"/>
    <col min="13" max="13" width="1.453125" style="35" customWidth="1"/>
    <col min="14" max="14" width="14.7265625" style="66" customWidth="1"/>
    <col min="15" max="15" width="20.1796875" style="66" customWidth="1"/>
    <col min="16" max="16" width="15.1796875" style="66" customWidth="1"/>
    <col min="17" max="17" width="1.453125" style="66" customWidth="1"/>
    <col min="18" max="18" width="14.81640625" style="66" customWidth="1"/>
    <col min="19" max="19" width="20.1796875" style="66" customWidth="1"/>
    <col min="20" max="20" width="15.26953125" style="66" customWidth="1"/>
    <col min="21" max="21" width="1.453125" style="66" customWidth="1"/>
    <col min="22" max="22" width="14.81640625" style="66" customWidth="1"/>
    <col min="23" max="23" width="20.1796875" style="66" customWidth="1"/>
    <col min="24" max="24" width="15.26953125" style="66" customWidth="1"/>
    <col min="25" max="25" width="1.453125" style="66" customWidth="1"/>
    <col min="26" max="26" width="14.81640625" style="66" customWidth="1"/>
    <col min="27" max="27" width="20.1796875" style="66" customWidth="1"/>
    <col min="28" max="28" width="15.26953125" style="66" customWidth="1"/>
    <col min="29" max="29" width="1.453125" style="66" customWidth="1"/>
    <col min="30" max="30" width="14.81640625" style="66" customWidth="1"/>
    <col min="31" max="31" width="20.1796875" style="66" customWidth="1"/>
    <col min="32" max="32" width="15.26953125" style="66" customWidth="1"/>
    <col min="33" max="33" width="1.453125" style="66" customWidth="1"/>
    <col min="34" max="34" width="14.81640625" style="66" customWidth="1"/>
    <col min="35" max="35" width="20.1796875" style="66" customWidth="1"/>
    <col min="36" max="36" width="15.26953125" style="66" customWidth="1"/>
    <col min="37" max="37" width="1.453125" style="66" customWidth="1"/>
    <col min="38" max="38" width="14.81640625" style="66" customWidth="1"/>
    <col min="39" max="39" width="20.1796875" style="66" customWidth="1"/>
    <col min="40" max="40" width="17.1796875" style="66" customWidth="1"/>
    <col min="41" max="995" width="9.54296875" style="66" customWidth="1"/>
    <col min="996" max="16384" width="8.7265625" style="66"/>
  </cols>
  <sheetData>
    <row r="1" spans="1:40" s="64" customFormat="1" ht="17.5" customHeight="1">
      <c r="A1" s="607" t="s">
        <v>0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08"/>
      <c r="AN1" s="609"/>
    </row>
    <row r="2" spans="1:40" s="64" customFormat="1" ht="22" customHeight="1">
      <c r="A2" s="610" t="s">
        <v>135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  <c r="X2" s="611"/>
      <c r="Y2" s="611"/>
      <c r="Z2" s="611"/>
      <c r="AA2" s="611"/>
      <c r="AB2" s="611"/>
      <c r="AC2" s="611"/>
      <c r="AD2" s="611"/>
      <c r="AE2" s="611"/>
      <c r="AF2" s="611"/>
      <c r="AG2" s="611"/>
      <c r="AH2" s="611"/>
      <c r="AI2" s="611"/>
      <c r="AJ2" s="611"/>
      <c r="AK2" s="611"/>
      <c r="AL2" s="611"/>
      <c r="AM2" s="611"/>
      <c r="AN2" s="612"/>
    </row>
    <row r="3" spans="1:40" s="64" customFormat="1" ht="5.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31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</row>
    <row r="4" spans="1:40" s="64" customFormat="1" ht="18.5" customHeight="1">
      <c r="A4" s="600" t="s">
        <v>1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62" t="str">
        <f>CCT!J4</f>
        <v>10707.720194-2025-26</v>
      </c>
      <c r="M4" s="662"/>
      <c r="N4" s="662"/>
      <c r="O4" s="662"/>
      <c r="P4" s="662"/>
      <c r="Q4" s="662"/>
      <c r="R4" s="662"/>
      <c r="S4" s="662"/>
      <c r="T4" s="662"/>
      <c r="U4" s="662"/>
      <c r="V4" s="662"/>
      <c r="W4" s="662"/>
      <c r="X4" s="662"/>
      <c r="Y4" s="662"/>
      <c r="Z4" s="662"/>
      <c r="AA4" s="662"/>
      <c r="AB4" s="662"/>
      <c r="AC4" s="662"/>
      <c r="AD4" s="662"/>
      <c r="AE4" s="662"/>
      <c r="AF4" s="662"/>
      <c r="AG4" s="662"/>
      <c r="AH4" s="662"/>
      <c r="AI4" s="662"/>
      <c r="AJ4" s="662"/>
      <c r="AK4" s="662"/>
      <c r="AL4" s="662"/>
      <c r="AM4" s="662"/>
      <c r="AN4" s="662"/>
    </row>
    <row r="5" spans="1:40" s="64" customFormat="1" ht="5" customHeight="1">
      <c r="M5" s="35"/>
    </row>
    <row r="6" spans="1:40" s="64" customFormat="1" ht="18" customHeight="1">
      <c r="A6" s="663" t="s">
        <v>2</v>
      </c>
      <c r="B6" s="664"/>
      <c r="C6" s="664"/>
      <c r="D6" s="664"/>
      <c r="E6" s="664"/>
      <c r="F6" s="664"/>
      <c r="G6" s="664"/>
      <c r="H6" s="664"/>
      <c r="I6" s="664"/>
      <c r="J6" s="664"/>
      <c r="K6" s="664"/>
      <c r="L6" s="664"/>
      <c r="M6" s="664"/>
      <c r="N6" s="664"/>
      <c r="O6" s="664"/>
      <c r="P6" s="664"/>
      <c r="Q6" s="664"/>
      <c r="R6" s="664"/>
      <c r="S6" s="664"/>
      <c r="T6" s="664"/>
      <c r="U6" s="664"/>
      <c r="V6" s="664"/>
      <c r="W6" s="664"/>
      <c r="X6" s="664"/>
      <c r="Y6" s="664"/>
      <c r="Z6" s="664"/>
      <c r="AA6" s="664"/>
      <c r="AB6" s="664"/>
      <c r="AC6" s="664"/>
      <c r="AD6" s="664"/>
      <c r="AE6" s="664"/>
      <c r="AF6" s="664"/>
      <c r="AG6" s="664"/>
      <c r="AH6" s="664"/>
      <c r="AI6" s="664"/>
      <c r="AJ6" s="664"/>
      <c r="AK6" s="664"/>
      <c r="AL6" s="664"/>
      <c r="AM6" s="664"/>
      <c r="AN6" s="665"/>
    </row>
    <row r="7" spans="1:40"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O7" s="132"/>
      <c r="P7" s="132"/>
      <c r="S7" s="132"/>
      <c r="T7" s="132"/>
      <c r="W7" s="132"/>
      <c r="X7" s="132"/>
      <c r="AA7" s="132"/>
      <c r="AB7" s="132"/>
      <c r="AE7" s="132"/>
      <c r="AF7" s="132"/>
      <c r="AI7" s="132"/>
      <c r="AJ7" s="132"/>
      <c r="AM7" s="132"/>
      <c r="AN7" s="132"/>
    </row>
    <row r="8" spans="1:40">
      <c r="A8" s="133"/>
      <c r="B8" s="132"/>
      <c r="C8" s="648" t="s">
        <v>147</v>
      </c>
      <c r="D8" s="649"/>
      <c r="E8" s="132"/>
      <c r="F8" s="650" t="s">
        <v>154</v>
      </c>
      <c r="G8" s="651"/>
      <c r="H8" s="652"/>
      <c r="I8" s="132"/>
      <c r="J8" s="653" t="s">
        <v>137</v>
      </c>
      <c r="K8" s="654"/>
      <c r="L8" s="655"/>
      <c r="N8" s="656" t="s">
        <v>138</v>
      </c>
      <c r="O8" s="657"/>
      <c r="P8" s="658"/>
      <c r="R8" s="659" t="s">
        <v>139</v>
      </c>
      <c r="S8" s="660"/>
      <c r="T8" s="661"/>
      <c r="V8" s="687" t="s">
        <v>140</v>
      </c>
      <c r="W8" s="688"/>
      <c r="X8" s="689"/>
      <c r="Z8" s="690" t="s">
        <v>141</v>
      </c>
      <c r="AA8" s="691"/>
      <c r="AB8" s="692"/>
      <c r="AD8" s="693" t="s">
        <v>142</v>
      </c>
      <c r="AE8" s="694"/>
      <c r="AF8" s="695"/>
      <c r="AH8" s="681" t="s">
        <v>143</v>
      </c>
      <c r="AI8" s="682"/>
      <c r="AJ8" s="683"/>
      <c r="AL8" s="684" t="s">
        <v>144</v>
      </c>
      <c r="AM8" s="685"/>
      <c r="AN8" s="686"/>
    </row>
    <row r="9" spans="1:40">
      <c r="A9" s="669" t="s">
        <v>153</v>
      </c>
      <c r="B9" s="672" t="s">
        <v>57</v>
      </c>
      <c r="C9" s="674" t="s">
        <v>510</v>
      </c>
      <c r="D9" s="676" t="s">
        <v>148</v>
      </c>
      <c r="F9" s="134"/>
      <c r="G9" s="135" t="s">
        <v>149</v>
      </c>
      <c r="H9" s="136" t="s">
        <v>150</v>
      </c>
      <c r="J9" s="137"/>
      <c r="K9" s="135" t="s">
        <v>149</v>
      </c>
      <c r="L9" s="136" t="s">
        <v>150</v>
      </c>
      <c r="N9" s="138"/>
      <c r="O9" s="135" t="s">
        <v>149</v>
      </c>
      <c r="P9" s="136" t="s">
        <v>150</v>
      </c>
      <c r="R9" s="139"/>
      <c r="S9" s="135" t="s">
        <v>149</v>
      </c>
      <c r="T9" s="136" t="s">
        <v>150</v>
      </c>
      <c r="V9" s="140"/>
      <c r="W9" s="135" t="s">
        <v>149</v>
      </c>
      <c r="X9" s="136" t="s">
        <v>150</v>
      </c>
      <c r="Z9" s="141"/>
      <c r="AA9" s="135" t="s">
        <v>149</v>
      </c>
      <c r="AB9" s="136" t="s">
        <v>150</v>
      </c>
      <c r="AD9" s="142"/>
      <c r="AE9" s="135" t="s">
        <v>149</v>
      </c>
      <c r="AF9" s="136" t="s">
        <v>150</v>
      </c>
      <c r="AH9" s="143"/>
      <c r="AI9" s="135" t="s">
        <v>149</v>
      </c>
      <c r="AJ9" s="136" t="s">
        <v>150</v>
      </c>
      <c r="AL9" s="144"/>
      <c r="AM9" s="135" t="s">
        <v>149</v>
      </c>
      <c r="AN9" s="136" t="s">
        <v>150</v>
      </c>
    </row>
    <row r="10" spans="1:40" ht="52">
      <c r="A10" s="670"/>
      <c r="B10" s="673"/>
      <c r="C10" s="675"/>
      <c r="D10" s="677"/>
      <c r="E10" s="145"/>
      <c r="F10" s="146" t="s">
        <v>511</v>
      </c>
      <c r="G10" s="147" t="s">
        <v>151</v>
      </c>
      <c r="H10" s="148" t="s">
        <v>152</v>
      </c>
      <c r="J10" s="146" t="s">
        <v>511</v>
      </c>
      <c r="K10" s="147" t="s">
        <v>151</v>
      </c>
      <c r="L10" s="148" t="s">
        <v>152</v>
      </c>
      <c r="N10" s="149" t="s">
        <v>511</v>
      </c>
      <c r="O10" s="150" t="s">
        <v>151</v>
      </c>
      <c r="P10" s="148" t="s">
        <v>152</v>
      </c>
      <c r="R10" s="149" t="s">
        <v>511</v>
      </c>
      <c r="S10" s="150" t="s">
        <v>151</v>
      </c>
      <c r="T10" s="148" t="s">
        <v>152</v>
      </c>
      <c r="V10" s="148" t="s">
        <v>511</v>
      </c>
      <c r="W10" s="150" t="s">
        <v>151</v>
      </c>
      <c r="X10" s="148" t="s">
        <v>152</v>
      </c>
      <c r="Z10" s="149" t="s">
        <v>511</v>
      </c>
      <c r="AA10" s="150" t="s">
        <v>151</v>
      </c>
      <c r="AB10" s="148" t="s">
        <v>152</v>
      </c>
      <c r="AD10" s="149" t="s">
        <v>511</v>
      </c>
      <c r="AE10" s="150" t="s">
        <v>151</v>
      </c>
      <c r="AF10" s="148" t="s">
        <v>152</v>
      </c>
      <c r="AH10" s="148" t="s">
        <v>511</v>
      </c>
      <c r="AI10" s="150" t="s">
        <v>151</v>
      </c>
      <c r="AJ10" s="148" t="s">
        <v>152</v>
      </c>
      <c r="AL10" s="148" t="s">
        <v>511</v>
      </c>
      <c r="AM10" s="150" t="s">
        <v>151</v>
      </c>
      <c r="AN10" s="148" t="s">
        <v>152</v>
      </c>
    </row>
    <row r="11" spans="1:40">
      <c r="A11" s="670"/>
      <c r="B11" s="678" t="s">
        <v>41</v>
      </c>
      <c r="C11" s="679"/>
      <c r="D11" s="679"/>
      <c r="E11" s="151"/>
      <c r="F11" s="152"/>
      <c r="G11" s="153" t="s">
        <v>41</v>
      </c>
      <c r="H11" s="154"/>
      <c r="J11" s="152"/>
      <c r="K11" s="153" t="s">
        <v>41</v>
      </c>
      <c r="L11" s="154"/>
      <c r="N11" s="152"/>
      <c r="O11" s="155" t="s">
        <v>41</v>
      </c>
      <c r="P11" s="154"/>
      <c r="R11" s="152"/>
      <c r="S11" s="155" t="s">
        <v>41</v>
      </c>
      <c r="T11" s="154"/>
      <c r="V11" s="152"/>
      <c r="W11" s="155" t="s">
        <v>41</v>
      </c>
      <c r="X11" s="154"/>
      <c r="Z11" s="152"/>
      <c r="AA11" s="155" t="s">
        <v>41</v>
      </c>
      <c r="AB11" s="154"/>
      <c r="AD11" s="152"/>
      <c r="AE11" s="155" t="s">
        <v>41</v>
      </c>
      <c r="AF11" s="154"/>
      <c r="AH11" s="152"/>
      <c r="AI11" s="155" t="s">
        <v>41</v>
      </c>
      <c r="AJ11" s="154"/>
      <c r="AL11" s="152"/>
      <c r="AM11" s="155" t="s">
        <v>41</v>
      </c>
      <c r="AN11" s="154"/>
    </row>
    <row r="12" spans="1:40" s="69" customFormat="1" ht="18" customHeight="1">
      <c r="A12" s="670"/>
      <c r="B12" s="156" t="s">
        <v>42</v>
      </c>
      <c r="C12" s="157">
        <v>1200</v>
      </c>
      <c r="D12" s="158">
        <f t="shared" ref="D12:D18" si="0">ROUND((C12*30)/44,2)</f>
        <v>818.18</v>
      </c>
      <c r="E12" s="159"/>
      <c r="F12" s="160"/>
      <c r="G12" s="161">
        <f t="shared" ref="G12:G18" si="1">ROUND(F12/D12,4)</f>
        <v>0</v>
      </c>
      <c r="H12" s="161">
        <f t="shared" ref="H12:H18" si="2">ROUND(F12/C12,4)</f>
        <v>0</v>
      </c>
      <c r="J12" s="160"/>
      <c r="K12" s="161">
        <f t="shared" ref="K12:K18" si="3">ROUND(J12/D12,4)</f>
        <v>0</v>
      </c>
      <c r="L12" s="161">
        <f t="shared" ref="L12:L18" si="4">ROUND(J12/$C12,4)</f>
        <v>0</v>
      </c>
      <c r="M12" s="162"/>
      <c r="N12" s="160"/>
      <c r="O12" s="163">
        <f t="shared" ref="O12:O18" si="5">ROUND(N12/$D12,4)</f>
        <v>0</v>
      </c>
      <c r="P12" s="161">
        <f t="shared" ref="P12:P18" si="6">ROUND(N12/$C12,4)</f>
        <v>0</v>
      </c>
      <c r="R12" s="160"/>
      <c r="S12" s="163">
        <f t="shared" ref="S12:S18" si="7">ROUND(R12/$D12,4)</f>
        <v>0</v>
      </c>
      <c r="T12" s="161">
        <f t="shared" ref="T12:T18" si="8">ROUND(R12/$C12,4)</f>
        <v>0</v>
      </c>
      <c r="V12" s="160"/>
      <c r="W12" s="163">
        <f t="shared" ref="W12:W18" si="9">ROUND(V12/$D12,4)</f>
        <v>0</v>
      </c>
      <c r="X12" s="161">
        <f t="shared" ref="X12:X18" si="10">ROUND(V12/$C12,4)</f>
        <v>0</v>
      </c>
      <c r="Z12" s="160"/>
      <c r="AA12" s="163">
        <f t="shared" ref="AA12:AA18" si="11">ROUND(Z12/$D12,4)</f>
        <v>0</v>
      </c>
      <c r="AB12" s="161">
        <f t="shared" ref="AB12:AB18" si="12">ROUND(Z12/$C12,4)</f>
        <v>0</v>
      </c>
      <c r="AD12" s="160"/>
      <c r="AE12" s="163">
        <f t="shared" ref="AE12:AE18" si="13">ROUND(AD12/$D12,4)</f>
        <v>0</v>
      </c>
      <c r="AF12" s="161">
        <f t="shared" ref="AF12:AF18" si="14">ROUND(AD12/$C12,4)</f>
        <v>0</v>
      </c>
      <c r="AH12" s="164">
        <v>113.51</v>
      </c>
      <c r="AI12" s="163">
        <f t="shared" ref="AI12:AI18" si="15">ROUND(AH12/$D12,4)</f>
        <v>0.13869999999999999</v>
      </c>
      <c r="AJ12" s="161">
        <f t="shared" ref="AJ12:AJ18" si="16">ROUND(AH12/$C12,4)</f>
        <v>9.4600000000000004E-2</v>
      </c>
      <c r="AL12" s="160"/>
      <c r="AM12" s="163">
        <f t="shared" ref="AM12:AM18" si="17">ROUND(AL12/$D12,4)</f>
        <v>0</v>
      </c>
      <c r="AN12" s="161">
        <f t="shared" ref="AN12:AN18" si="18">ROUND(AL12/$C12,4)</f>
        <v>0</v>
      </c>
    </row>
    <row r="13" spans="1:40" ht="18" customHeight="1">
      <c r="A13" s="670"/>
      <c r="B13" s="165" t="s">
        <v>43</v>
      </c>
      <c r="C13" s="157">
        <v>1200</v>
      </c>
      <c r="D13" s="158">
        <f t="shared" si="0"/>
        <v>818.18</v>
      </c>
      <c r="E13" s="166"/>
      <c r="F13" s="158">
        <v>5752.5</v>
      </c>
      <c r="G13" s="161">
        <f t="shared" si="1"/>
        <v>7.0308000000000002</v>
      </c>
      <c r="H13" s="161">
        <f t="shared" si="2"/>
        <v>4.7938000000000001</v>
      </c>
      <c r="J13" s="164">
        <v>220</v>
      </c>
      <c r="K13" s="161">
        <f t="shared" si="3"/>
        <v>0.26889999999999997</v>
      </c>
      <c r="L13" s="161">
        <f t="shared" si="4"/>
        <v>0.18329999999999999</v>
      </c>
      <c r="N13" s="164">
        <v>151.5</v>
      </c>
      <c r="O13" s="163">
        <f t="shared" si="5"/>
        <v>0.1852</v>
      </c>
      <c r="P13" s="161">
        <f t="shared" si="6"/>
        <v>0.1263</v>
      </c>
      <c r="R13" s="164">
        <v>315.23</v>
      </c>
      <c r="S13" s="163">
        <f t="shared" si="7"/>
        <v>0.38529999999999998</v>
      </c>
      <c r="T13" s="161">
        <f t="shared" si="8"/>
        <v>0.26269999999999999</v>
      </c>
      <c r="V13" s="164">
        <v>570</v>
      </c>
      <c r="W13" s="163">
        <f t="shared" si="9"/>
        <v>0.69669999999999999</v>
      </c>
      <c r="X13" s="161">
        <f t="shared" si="10"/>
        <v>0.47499999999999998</v>
      </c>
      <c r="Z13" s="164">
        <v>290.73</v>
      </c>
      <c r="AA13" s="163">
        <f t="shared" si="11"/>
        <v>0.3553</v>
      </c>
      <c r="AB13" s="161">
        <f t="shared" si="12"/>
        <v>0.24229999999999999</v>
      </c>
      <c r="AD13" s="164">
        <v>193.96</v>
      </c>
      <c r="AE13" s="163">
        <f t="shared" si="13"/>
        <v>0.23710000000000001</v>
      </c>
      <c r="AF13" s="161">
        <f t="shared" si="14"/>
        <v>0.16159999999999999</v>
      </c>
      <c r="AH13" s="164">
        <v>1504.76</v>
      </c>
      <c r="AI13" s="163">
        <f t="shared" si="15"/>
        <v>1.8391999999999999</v>
      </c>
      <c r="AJ13" s="161">
        <f t="shared" si="16"/>
        <v>1.254</v>
      </c>
      <c r="AL13" s="164">
        <v>437.44</v>
      </c>
      <c r="AM13" s="163">
        <f t="shared" si="17"/>
        <v>0.53469999999999995</v>
      </c>
      <c r="AN13" s="161">
        <f t="shared" si="18"/>
        <v>0.36449999999999999</v>
      </c>
    </row>
    <row r="14" spans="1:40" ht="18" customHeight="1">
      <c r="A14" s="670"/>
      <c r="B14" s="165" t="s">
        <v>44</v>
      </c>
      <c r="C14" s="157">
        <v>450</v>
      </c>
      <c r="D14" s="158">
        <f t="shared" si="0"/>
        <v>306.82</v>
      </c>
      <c r="E14" s="166"/>
      <c r="F14" s="167"/>
      <c r="G14" s="161">
        <f t="shared" si="1"/>
        <v>0</v>
      </c>
      <c r="H14" s="161">
        <f t="shared" si="2"/>
        <v>0</v>
      </c>
      <c r="J14" s="167"/>
      <c r="K14" s="161">
        <f t="shared" si="3"/>
        <v>0</v>
      </c>
      <c r="L14" s="161">
        <f t="shared" si="4"/>
        <v>0</v>
      </c>
      <c r="N14" s="167"/>
      <c r="O14" s="163">
        <f t="shared" si="5"/>
        <v>0</v>
      </c>
      <c r="P14" s="161">
        <f t="shared" si="6"/>
        <v>0</v>
      </c>
      <c r="R14" s="167"/>
      <c r="S14" s="163">
        <f t="shared" si="7"/>
        <v>0</v>
      </c>
      <c r="T14" s="161">
        <f t="shared" si="8"/>
        <v>0</v>
      </c>
      <c r="V14" s="167"/>
      <c r="W14" s="163">
        <f t="shared" si="9"/>
        <v>0</v>
      </c>
      <c r="X14" s="161">
        <f t="shared" si="10"/>
        <v>0</v>
      </c>
      <c r="Z14" s="167"/>
      <c r="AA14" s="163">
        <f t="shared" si="11"/>
        <v>0</v>
      </c>
      <c r="AB14" s="161">
        <f t="shared" si="12"/>
        <v>0</v>
      </c>
      <c r="AD14" s="167"/>
      <c r="AE14" s="163">
        <f t="shared" si="13"/>
        <v>0</v>
      </c>
      <c r="AF14" s="161">
        <f t="shared" si="14"/>
        <v>0</v>
      </c>
      <c r="AH14" s="164">
        <v>31.21</v>
      </c>
      <c r="AI14" s="163">
        <f t="shared" si="15"/>
        <v>0.1017</v>
      </c>
      <c r="AJ14" s="161">
        <f t="shared" si="16"/>
        <v>6.9400000000000003E-2</v>
      </c>
      <c r="AL14" s="167"/>
      <c r="AM14" s="163">
        <f t="shared" si="17"/>
        <v>0</v>
      </c>
      <c r="AN14" s="161">
        <f t="shared" si="18"/>
        <v>0</v>
      </c>
    </row>
    <row r="15" spans="1:40" ht="18" customHeight="1">
      <c r="A15" s="670"/>
      <c r="B15" s="165" t="s">
        <v>45</v>
      </c>
      <c r="C15" s="157">
        <v>2500</v>
      </c>
      <c r="D15" s="158">
        <f t="shared" si="0"/>
        <v>1704.55</v>
      </c>
      <c r="E15" s="166"/>
      <c r="F15" s="158">
        <v>409.05</v>
      </c>
      <c r="G15" s="161">
        <f t="shared" si="1"/>
        <v>0.24</v>
      </c>
      <c r="H15" s="161">
        <f t="shared" si="2"/>
        <v>0.1636</v>
      </c>
      <c r="J15" s="164">
        <v>6</v>
      </c>
      <c r="K15" s="161">
        <f t="shared" si="3"/>
        <v>3.5000000000000001E-3</v>
      </c>
      <c r="L15" s="161">
        <f t="shared" si="4"/>
        <v>2.3999999999999998E-3</v>
      </c>
      <c r="N15" s="164"/>
      <c r="O15" s="163">
        <f t="shared" si="5"/>
        <v>0</v>
      </c>
      <c r="P15" s="161">
        <f t="shared" si="6"/>
        <v>0</v>
      </c>
      <c r="R15" s="167"/>
      <c r="S15" s="163">
        <f t="shared" si="7"/>
        <v>0</v>
      </c>
      <c r="T15" s="161">
        <f t="shared" si="8"/>
        <v>0</v>
      </c>
      <c r="V15" s="167"/>
      <c r="W15" s="163">
        <f t="shared" si="9"/>
        <v>0</v>
      </c>
      <c r="X15" s="161">
        <f t="shared" si="10"/>
        <v>0</v>
      </c>
      <c r="Z15" s="164">
        <v>16.64</v>
      </c>
      <c r="AA15" s="163">
        <f t="shared" si="11"/>
        <v>9.7999999999999997E-3</v>
      </c>
      <c r="AB15" s="161">
        <f t="shared" si="12"/>
        <v>6.7000000000000002E-3</v>
      </c>
      <c r="AD15" s="164">
        <v>41.35</v>
      </c>
      <c r="AE15" s="163">
        <f t="shared" si="13"/>
        <v>2.4299999999999999E-2</v>
      </c>
      <c r="AF15" s="161">
        <f t="shared" si="14"/>
        <v>1.6500000000000001E-2</v>
      </c>
      <c r="AH15" s="164">
        <v>90</v>
      </c>
      <c r="AI15" s="163">
        <f t="shared" si="15"/>
        <v>5.28E-2</v>
      </c>
      <c r="AJ15" s="161">
        <f t="shared" si="16"/>
        <v>3.5999999999999997E-2</v>
      </c>
      <c r="AL15" s="164">
        <v>314.14999999999998</v>
      </c>
      <c r="AM15" s="163">
        <f t="shared" si="17"/>
        <v>0.18429999999999999</v>
      </c>
      <c r="AN15" s="161">
        <f t="shared" si="18"/>
        <v>0.12570000000000001</v>
      </c>
    </row>
    <row r="16" spans="1:40" ht="28.5" customHeight="1">
      <c r="A16" s="670"/>
      <c r="B16" s="165" t="s">
        <v>46</v>
      </c>
      <c r="C16" s="157">
        <v>1500</v>
      </c>
      <c r="D16" s="158">
        <f t="shared" si="0"/>
        <v>1022.73</v>
      </c>
      <c r="E16" s="166"/>
      <c r="F16" s="158">
        <v>624.16999999999996</v>
      </c>
      <c r="G16" s="161">
        <f t="shared" si="1"/>
        <v>0.61029999999999995</v>
      </c>
      <c r="H16" s="161">
        <f t="shared" si="2"/>
        <v>0.41610000000000003</v>
      </c>
      <c r="J16" s="168"/>
      <c r="K16" s="161">
        <f t="shared" si="3"/>
        <v>0</v>
      </c>
      <c r="L16" s="161">
        <f t="shared" si="4"/>
        <v>0</v>
      </c>
      <c r="N16" s="168"/>
      <c r="O16" s="163">
        <f t="shared" si="5"/>
        <v>0</v>
      </c>
      <c r="P16" s="161">
        <f t="shared" si="6"/>
        <v>0</v>
      </c>
      <c r="R16" s="168"/>
      <c r="S16" s="163">
        <f t="shared" si="7"/>
        <v>0</v>
      </c>
      <c r="T16" s="161">
        <f t="shared" si="8"/>
        <v>0</v>
      </c>
      <c r="V16" s="168"/>
      <c r="W16" s="163">
        <f t="shared" si="9"/>
        <v>0</v>
      </c>
      <c r="X16" s="161">
        <f t="shared" si="10"/>
        <v>0</v>
      </c>
      <c r="Z16" s="164">
        <v>125.26</v>
      </c>
      <c r="AA16" s="163">
        <f t="shared" si="11"/>
        <v>0.1225</v>
      </c>
      <c r="AB16" s="161">
        <f t="shared" si="12"/>
        <v>8.3500000000000005E-2</v>
      </c>
      <c r="AD16" s="164">
        <v>24.54</v>
      </c>
      <c r="AE16" s="163">
        <f t="shared" si="13"/>
        <v>2.4E-2</v>
      </c>
      <c r="AF16" s="161">
        <f t="shared" si="14"/>
        <v>1.6400000000000001E-2</v>
      </c>
      <c r="AH16" s="164">
        <v>452.37</v>
      </c>
      <c r="AI16" s="163">
        <f t="shared" si="15"/>
        <v>0.44230000000000003</v>
      </c>
      <c r="AJ16" s="161">
        <f t="shared" si="16"/>
        <v>0.30159999999999998</v>
      </c>
      <c r="AL16" s="164">
        <v>80.66</v>
      </c>
      <c r="AM16" s="163">
        <f t="shared" si="17"/>
        <v>7.8899999999999998E-2</v>
      </c>
      <c r="AN16" s="161">
        <f t="shared" si="18"/>
        <v>5.3800000000000001E-2</v>
      </c>
    </row>
    <row r="17" spans="1:40" ht="18" customHeight="1">
      <c r="A17" s="670"/>
      <c r="B17" s="169" t="s">
        <v>47</v>
      </c>
      <c r="C17" s="157">
        <v>300</v>
      </c>
      <c r="D17" s="158">
        <f t="shared" si="0"/>
        <v>204.55</v>
      </c>
      <c r="E17" s="166"/>
      <c r="F17" s="158">
        <v>84.63</v>
      </c>
      <c r="G17" s="161">
        <f t="shared" si="1"/>
        <v>0.41370000000000001</v>
      </c>
      <c r="H17" s="161">
        <f t="shared" si="2"/>
        <v>0.28210000000000002</v>
      </c>
      <c r="J17" s="164">
        <v>4</v>
      </c>
      <c r="K17" s="161">
        <f t="shared" si="3"/>
        <v>1.9599999999999999E-2</v>
      </c>
      <c r="L17" s="161">
        <f t="shared" si="4"/>
        <v>1.3299999999999999E-2</v>
      </c>
      <c r="N17" s="164">
        <v>2.89</v>
      </c>
      <c r="O17" s="163">
        <f t="shared" si="5"/>
        <v>1.41E-2</v>
      </c>
      <c r="P17" s="161">
        <f t="shared" si="6"/>
        <v>9.5999999999999992E-3</v>
      </c>
      <c r="R17" s="164">
        <v>7.45</v>
      </c>
      <c r="S17" s="163">
        <f t="shared" si="7"/>
        <v>3.6400000000000002E-2</v>
      </c>
      <c r="T17" s="161">
        <f t="shared" si="8"/>
        <v>2.4799999999999999E-2</v>
      </c>
      <c r="V17" s="164">
        <v>18</v>
      </c>
      <c r="W17" s="163">
        <f t="shared" si="9"/>
        <v>8.7999999999999995E-2</v>
      </c>
      <c r="X17" s="161">
        <f t="shared" si="10"/>
        <v>0.06</v>
      </c>
      <c r="Z17" s="164">
        <v>4.96</v>
      </c>
      <c r="AA17" s="163">
        <f t="shared" si="11"/>
        <v>2.4199999999999999E-2</v>
      </c>
      <c r="AB17" s="161">
        <f t="shared" si="12"/>
        <v>1.6500000000000001E-2</v>
      </c>
      <c r="AD17" s="164">
        <v>3.8</v>
      </c>
      <c r="AE17" s="163">
        <f t="shared" si="13"/>
        <v>1.8599999999999998E-2</v>
      </c>
      <c r="AF17" s="161">
        <f t="shared" si="14"/>
        <v>1.2699999999999999E-2</v>
      </c>
      <c r="AH17" s="164">
        <v>8.66</v>
      </c>
      <c r="AI17" s="163">
        <f t="shared" si="15"/>
        <v>4.2299999999999997E-2</v>
      </c>
      <c r="AJ17" s="161">
        <f t="shared" si="16"/>
        <v>2.8899999999999999E-2</v>
      </c>
      <c r="AL17" s="164">
        <v>12.88</v>
      </c>
      <c r="AM17" s="163">
        <f t="shared" si="17"/>
        <v>6.3E-2</v>
      </c>
      <c r="AN17" s="161">
        <f t="shared" si="18"/>
        <v>4.2900000000000001E-2</v>
      </c>
    </row>
    <row r="18" spans="1:40" ht="18" customHeight="1">
      <c r="A18" s="670"/>
      <c r="B18" s="170" t="s">
        <v>145</v>
      </c>
      <c r="C18" s="171">
        <v>300</v>
      </c>
      <c r="D18" s="158">
        <f t="shared" si="0"/>
        <v>204.55</v>
      </c>
      <c r="E18" s="92"/>
      <c r="F18" s="172">
        <v>303.98</v>
      </c>
      <c r="G18" s="161">
        <f t="shared" si="1"/>
        <v>1.4861</v>
      </c>
      <c r="H18" s="161">
        <f t="shared" si="2"/>
        <v>1.0133000000000001</v>
      </c>
      <c r="J18" s="164">
        <v>9.56</v>
      </c>
      <c r="K18" s="161">
        <f t="shared" si="3"/>
        <v>4.6699999999999998E-2</v>
      </c>
      <c r="L18" s="161">
        <f t="shared" si="4"/>
        <v>3.1899999999999998E-2</v>
      </c>
      <c r="N18" s="164">
        <v>4.3899999999999997</v>
      </c>
      <c r="O18" s="163">
        <f t="shared" si="5"/>
        <v>2.1499999999999998E-2</v>
      </c>
      <c r="P18" s="161">
        <f t="shared" si="6"/>
        <v>1.46E-2</v>
      </c>
      <c r="R18" s="164">
        <v>11.5</v>
      </c>
      <c r="S18" s="163">
        <f t="shared" si="7"/>
        <v>5.62E-2</v>
      </c>
      <c r="T18" s="161">
        <f t="shared" si="8"/>
        <v>3.8300000000000001E-2</v>
      </c>
      <c r="V18" s="164">
        <v>10</v>
      </c>
      <c r="W18" s="163">
        <f t="shared" si="9"/>
        <v>4.8899999999999999E-2</v>
      </c>
      <c r="X18" s="161">
        <f t="shared" si="10"/>
        <v>3.3300000000000003E-2</v>
      </c>
      <c r="Z18" s="164">
        <v>20.74</v>
      </c>
      <c r="AA18" s="163">
        <f t="shared" si="11"/>
        <v>0.1014</v>
      </c>
      <c r="AB18" s="161">
        <f t="shared" si="12"/>
        <v>6.9099999999999995E-2</v>
      </c>
      <c r="AD18" s="164">
        <v>4.32</v>
      </c>
      <c r="AE18" s="163">
        <f t="shared" si="13"/>
        <v>2.1100000000000001E-2</v>
      </c>
      <c r="AF18" s="161">
        <f t="shared" si="14"/>
        <v>1.44E-2</v>
      </c>
      <c r="AH18" s="164">
        <v>145.83000000000001</v>
      </c>
      <c r="AI18" s="163">
        <f t="shared" si="15"/>
        <v>0.71289999999999998</v>
      </c>
      <c r="AJ18" s="161">
        <f t="shared" si="16"/>
        <v>0.48609999999999998</v>
      </c>
      <c r="AL18" s="164">
        <v>22.54</v>
      </c>
      <c r="AM18" s="163">
        <f t="shared" si="17"/>
        <v>0.11020000000000001</v>
      </c>
      <c r="AN18" s="161">
        <f t="shared" si="18"/>
        <v>7.51E-2</v>
      </c>
    </row>
    <row r="19" spans="1:40">
      <c r="A19" s="670"/>
      <c r="B19" s="680" t="s">
        <v>48</v>
      </c>
      <c r="C19" s="680"/>
      <c r="D19" s="173"/>
      <c r="E19" s="151"/>
      <c r="F19" s="153"/>
      <c r="G19" s="153" t="s">
        <v>48</v>
      </c>
      <c r="H19" s="154"/>
      <c r="J19" s="153"/>
      <c r="K19" s="153" t="s">
        <v>48</v>
      </c>
      <c r="L19" s="154"/>
      <c r="N19" s="153"/>
      <c r="O19" s="155" t="s">
        <v>48</v>
      </c>
      <c r="P19" s="154"/>
      <c r="R19" s="153"/>
      <c r="S19" s="155" t="s">
        <v>48</v>
      </c>
      <c r="T19" s="154"/>
      <c r="V19" s="153"/>
      <c r="W19" s="155" t="s">
        <v>48</v>
      </c>
      <c r="X19" s="154"/>
      <c r="Z19" s="153"/>
      <c r="AA19" s="155" t="s">
        <v>48</v>
      </c>
      <c r="AB19" s="154"/>
      <c r="AD19" s="153"/>
      <c r="AE19" s="155" t="s">
        <v>48</v>
      </c>
      <c r="AF19" s="154"/>
      <c r="AH19" s="153"/>
      <c r="AI19" s="155" t="s">
        <v>48</v>
      </c>
      <c r="AJ19" s="154"/>
      <c r="AL19" s="153"/>
      <c r="AM19" s="155" t="s">
        <v>48</v>
      </c>
      <c r="AN19" s="154"/>
    </row>
    <row r="20" spans="1:40" ht="30" customHeight="1">
      <c r="A20" s="670"/>
      <c r="B20" s="174" t="s">
        <v>49</v>
      </c>
      <c r="C20" s="98">
        <v>2700</v>
      </c>
      <c r="D20" s="158">
        <f>ROUND((C20*30)/44,2)</f>
        <v>1840.91</v>
      </c>
      <c r="E20" s="175"/>
      <c r="F20" s="176">
        <v>96.69</v>
      </c>
      <c r="G20" s="161">
        <f>ROUND(F20/D20,4)</f>
        <v>5.2499999999999998E-2</v>
      </c>
      <c r="H20" s="161">
        <f>ROUND(F20/C20,4)</f>
        <v>3.5799999999999998E-2</v>
      </c>
      <c r="J20" s="164">
        <v>72</v>
      </c>
      <c r="K20" s="161">
        <f>ROUND(J20/D20,4)</f>
        <v>3.9100000000000003E-2</v>
      </c>
      <c r="L20" s="161">
        <f>ROUND(J20/$C20,4)</f>
        <v>2.6700000000000002E-2</v>
      </c>
      <c r="N20" s="160"/>
      <c r="O20" s="163">
        <f>ROUND(N20/$D20,4)</f>
        <v>0</v>
      </c>
      <c r="P20" s="161">
        <f>ROUND(N20/$C20,4)</f>
        <v>0</v>
      </c>
      <c r="R20" s="164">
        <v>76.12</v>
      </c>
      <c r="S20" s="163">
        <f>ROUND(R20/$D20,4)</f>
        <v>4.1300000000000003E-2</v>
      </c>
      <c r="T20" s="161">
        <f>ROUND(R20/$C20,4)</f>
        <v>2.8199999999999999E-2</v>
      </c>
      <c r="V20" s="164">
        <v>100</v>
      </c>
      <c r="W20" s="163">
        <f>ROUND(V20/$D20,4)</f>
        <v>5.4300000000000001E-2</v>
      </c>
      <c r="X20" s="161">
        <f>ROUND(V20/$C20,4)</f>
        <v>3.6999999999999998E-2</v>
      </c>
      <c r="Z20" s="164">
        <v>404.03</v>
      </c>
      <c r="AA20" s="163">
        <f>ROUND(Z20/$D20,4)</f>
        <v>0.2195</v>
      </c>
      <c r="AB20" s="161">
        <f>ROUND(Z20/$C20,4)</f>
        <v>0.14960000000000001</v>
      </c>
      <c r="AD20" s="164">
        <v>28.1</v>
      </c>
      <c r="AE20" s="163">
        <f>ROUND(AD20/$D20,4)</f>
        <v>1.5299999999999999E-2</v>
      </c>
      <c r="AF20" s="161">
        <f>ROUND(AD20/$C20,4)</f>
        <v>1.04E-2</v>
      </c>
      <c r="AH20" s="164">
        <v>263.72000000000003</v>
      </c>
      <c r="AI20" s="163">
        <f>ROUND(AH20/$D20,4)</f>
        <v>0.14330000000000001</v>
      </c>
      <c r="AJ20" s="161">
        <f>ROUND(AH20/$C20,4)</f>
        <v>9.7699999999999995E-2</v>
      </c>
      <c r="AL20" s="164">
        <v>184.38</v>
      </c>
      <c r="AM20" s="163">
        <f>ROUND(AL20/$D20,4)</f>
        <v>0.1002</v>
      </c>
      <c r="AN20" s="161">
        <f>ROUND(AL20/$C20,4)</f>
        <v>6.83E-2</v>
      </c>
    </row>
    <row r="21" spans="1:40" ht="18" customHeight="1">
      <c r="A21" s="670"/>
      <c r="B21" s="169" t="s">
        <v>50</v>
      </c>
      <c r="C21" s="177">
        <v>9000</v>
      </c>
      <c r="D21" s="158">
        <f>ROUND((C21*30)/44,2)</f>
        <v>6136.36</v>
      </c>
      <c r="E21" s="175"/>
      <c r="F21" s="158">
        <v>513.70000000000005</v>
      </c>
      <c r="G21" s="161">
        <f>ROUND(F21/D21,4)</f>
        <v>8.3699999999999997E-2</v>
      </c>
      <c r="H21" s="161">
        <f>ROUND(F21/C21,4)</f>
        <v>5.7099999999999998E-2</v>
      </c>
      <c r="J21" s="168"/>
      <c r="K21" s="161">
        <f>ROUND(J21/D21,4)</f>
        <v>0</v>
      </c>
      <c r="L21" s="161">
        <f>ROUND(J21/$C21,4)</f>
        <v>0</v>
      </c>
      <c r="N21" s="168">
        <v>48</v>
      </c>
      <c r="O21" s="163">
        <f>ROUND(N21/$D21,4)</f>
        <v>7.7999999999999996E-3</v>
      </c>
      <c r="P21" s="161">
        <f>ROUND(N21/$C21,4)</f>
        <v>5.3E-3</v>
      </c>
      <c r="R21" s="168"/>
      <c r="S21" s="163">
        <f>ROUND(R21/$D21,4)</f>
        <v>0</v>
      </c>
      <c r="T21" s="161">
        <f>ROUND(R21/$C21,4)</f>
        <v>0</v>
      </c>
      <c r="V21" s="164">
        <v>25</v>
      </c>
      <c r="W21" s="163">
        <f>ROUND(V21/$D21,4)</f>
        <v>4.1000000000000003E-3</v>
      </c>
      <c r="X21" s="161">
        <f>ROUND(V21/$C21,4)</f>
        <v>2.8E-3</v>
      </c>
      <c r="Z21" s="164">
        <v>271.63</v>
      </c>
      <c r="AA21" s="163">
        <f>ROUND(Z21/$D21,4)</f>
        <v>4.4299999999999999E-2</v>
      </c>
      <c r="AB21" s="161">
        <f>ROUND(Z21/$C21,4)</f>
        <v>3.0200000000000001E-2</v>
      </c>
      <c r="AD21" s="164">
        <v>29.25</v>
      </c>
      <c r="AE21" s="163">
        <f>ROUND(AD21/$D21,4)</f>
        <v>4.7999999999999996E-3</v>
      </c>
      <c r="AF21" s="161">
        <f>ROUND(AD21/$C21,4)</f>
        <v>3.3E-3</v>
      </c>
      <c r="AH21" s="164">
        <v>574.36</v>
      </c>
      <c r="AI21" s="163">
        <f>ROUND(AH21/$D21,4)</f>
        <v>9.3600000000000003E-2</v>
      </c>
      <c r="AJ21" s="161">
        <f>ROUND(AH21/$C21,4)</f>
        <v>6.3799999999999996E-2</v>
      </c>
      <c r="AL21" s="164">
        <v>1165</v>
      </c>
      <c r="AM21" s="163">
        <f>ROUND(AL21/$D21,4)</f>
        <v>0.18990000000000001</v>
      </c>
      <c r="AN21" s="161">
        <f>ROUND(AL21/$C21,4)</f>
        <v>0.12939999999999999</v>
      </c>
    </row>
    <row r="22" spans="1:40" ht="31" customHeight="1">
      <c r="A22" s="670"/>
      <c r="B22" s="169" t="s">
        <v>146</v>
      </c>
      <c r="C22" s="177">
        <v>2700</v>
      </c>
      <c r="D22" s="158">
        <f>ROUND((C22*30)/44,2)</f>
        <v>1840.91</v>
      </c>
      <c r="E22" s="175"/>
      <c r="F22" s="167"/>
      <c r="G22" s="161">
        <f>ROUND(F22/D22,4)</f>
        <v>0</v>
      </c>
      <c r="H22" s="161">
        <f>ROUND(F22/C22,4)</f>
        <v>0</v>
      </c>
      <c r="J22" s="168"/>
      <c r="K22" s="161">
        <f>ROUND(J22/D22,4)</f>
        <v>0</v>
      </c>
      <c r="L22" s="161">
        <f>ROUND(J22/$C22,4)</f>
        <v>0</v>
      </c>
      <c r="N22" s="168"/>
      <c r="O22" s="163">
        <f>ROUND(N22/$D22,4)</f>
        <v>0</v>
      </c>
      <c r="P22" s="161">
        <f>ROUND(N22/$C22,4)</f>
        <v>0</v>
      </c>
      <c r="R22" s="168"/>
      <c r="S22" s="163">
        <f>ROUND(R22/$D22,4)</f>
        <v>0</v>
      </c>
      <c r="T22" s="161">
        <f>ROUND(R22/$C22,4)</f>
        <v>0</v>
      </c>
      <c r="V22" s="168"/>
      <c r="W22" s="163">
        <f>ROUND(V22/$D22,4)</f>
        <v>0</v>
      </c>
      <c r="X22" s="161">
        <f>ROUND(V22/$C22,4)</f>
        <v>0</v>
      </c>
      <c r="Z22" s="164">
        <v>215.69</v>
      </c>
      <c r="AA22" s="163">
        <f>ROUND(Z22/$D22,4)</f>
        <v>0.1172</v>
      </c>
      <c r="AB22" s="161">
        <f>ROUND(Z22/$C22,4)</f>
        <v>7.9899999999999999E-2</v>
      </c>
      <c r="AD22" s="168"/>
      <c r="AE22" s="163">
        <f>ROUND(AD22/$D22,4)</f>
        <v>0</v>
      </c>
      <c r="AF22" s="161">
        <f>ROUND(AD22/$C22,4)</f>
        <v>0</v>
      </c>
      <c r="AH22" s="164">
        <v>434.72</v>
      </c>
      <c r="AI22" s="163">
        <f>ROUND(AH22/$D22,4)</f>
        <v>0.2361</v>
      </c>
      <c r="AJ22" s="161">
        <f>ROUND(AH22/$C22,4)</f>
        <v>0.161</v>
      </c>
      <c r="AL22" s="164">
        <v>1797</v>
      </c>
      <c r="AM22" s="163">
        <f>ROUND(AL22/$D22,4)</f>
        <v>0.97609999999999997</v>
      </c>
      <c r="AN22" s="161">
        <f>ROUND(AL22/$C22,4)</f>
        <v>0.66559999999999997</v>
      </c>
    </row>
    <row r="23" spans="1:40" ht="31" customHeight="1">
      <c r="A23" s="670"/>
      <c r="B23" s="169" t="s">
        <v>134</v>
      </c>
      <c r="C23" s="177">
        <v>2700</v>
      </c>
      <c r="D23" s="158">
        <f>ROUND((C23*30)/44,2)</f>
        <v>1840.91</v>
      </c>
      <c r="E23" s="175"/>
      <c r="F23" s="172">
        <v>1027.21</v>
      </c>
      <c r="G23" s="161">
        <f>ROUND(F23/D23,4)</f>
        <v>0.55800000000000005</v>
      </c>
      <c r="H23" s="161">
        <f>ROUND(F23/C23,4)</f>
        <v>0.38040000000000002</v>
      </c>
      <c r="J23" s="167"/>
      <c r="K23" s="161">
        <f>ROUND(J23/D23,4)</f>
        <v>0</v>
      </c>
      <c r="L23" s="161">
        <f>ROUND(J23/$C23,4)</f>
        <v>0</v>
      </c>
      <c r="N23" s="167"/>
      <c r="O23" s="163">
        <f>ROUND(N23/$D23,4)</f>
        <v>0</v>
      </c>
      <c r="P23" s="161">
        <f>ROUND(N23/$C23,4)</f>
        <v>0</v>
      </c>
      <c r="R23" s="167"/>
      <c r="S23" s="163">
        <f>ROUND(R23/$D23,4)</f>
        <v>0</v>
      </c>
      <c r="T23" s="161">
        <f>ROUND(R23/$C23,4)</f>
        <v>0</v>
      </c>
      <c r="V23" s="167"/>
      <c r="W23" s="163">
        <f>ROUND(V23/$D23,4)</f>
        <v>0</v>
      </c>
      <c r="X23" s="161">
        <f>ROUND(V23/$C23,4)</f>
        <v>0</v>
      </c>
      <c r="Z23" s="167"/>
      <c r="AA23" s="163">
        <f>ROUND(Z23/$D23,4)</f>
        <v>0</v>
      </c>
      <c r="AB23" s="161">
        <f>ROUND(Z23/$C23,4)</f>
        <v>0</v>
      </c>
      <c r="AD23" s="167"/>
      <c r="AE23" s="163">
        <f>ROUND(AD23/$D23,4)</f>
        <v>0</v>
      </c>
      <c r="AF23" s="161">
        <f>ROUND(AD23/$C23,4)</f>
        <v>0</v>
      </c>
      <c r="AH23" s="167"/>
      <c r="AI23" s="163">
        <f>ROUND(AH23/$D23,4)</f>
        <v>0</v>
      </c>
      <c r="AJ23" s="161">
        <f>ROUND(AH23/$C23,4)</f>
        <v>0</v>
      </c>
      <c r="AL23" s="167"/>
      <c r="AM23" s="163">
        <f>ROUND(AL23/$D23,4)</f>
        <v>0</v>
      </c>
      <c r="AN23" s="161">
        <f>ROUND(AL23/$C23,4)</f>
        <v>0</v>
      </c>
    </row>
    <row r="24" spans="1:40" ht="27.5" customHeight="1">
      <c r="A24" s="670"/>
      <c r="B24" s="678" t="s">
        <v>338</v>
      </c>
      <c r="C24" s="679"/>
      <c r="D24" s="679"/>
      <c r="E24" s="151"/>
      <c r="F24" s="153"/>
      <c r="G24" s="155"/>
      <c r="H24" s="173"/>
      <c r="J24" s="153"/>
      <c r="K24" s="178"/>
      <c r="L24" s="179"/>
      <c r="N24" s="153"/>
      <c r="O24" s="178"/>
      <c r="P24" s="179"/>
      <c r="R24" s="153"/>
      <c r="S24" s="155"/>
      <c r="T24" s="173"/>
      <c r="V24" s="153"/>
      <c r="W24" s="155"/>
      <c r="X24" s="173"/>
      <c r="Z24" s="153"/>
      <c r="AA24" s="155"/>
      <c r="AB24" s="173"/>
      <c r="AD24" s="153"/>
      <c r="AE24" s="155"/>
      <c r="AF24" s="173"/>
      <c r="AH24" s="153"/>
      <c r="AI24" s="155"/>
      <c r="AJ24" s="173"/>
      <c r="AL24" s="153"/>
      <c r="AM24" s="155"/>
      <c r="AN24" s="173"/>
    </row>
    <row r="25" spans="1:40" ht="32" customHeight="1">
      <c r="A25" s="670"/>
      <c r="B25" s="180" t="s">
        <v>340</v>
      </c>
      <c r="C25" s="181">
        <v>380</v>
      </c>
      <c r="D25" s="158">
        <f>ROUND((C25*30)/44,2)</f>
        <v>259.08999999999997</v>
      </c>
      <c r="E25" s="175"/>
      <c r="F25" s="182">
        <v>561.96</v>
      </c>
      <c r="G25" s="183">
        <f>ROUND((12/(128.7*$D25))*F25,5)</f>
        <v>0.20219999999999999</v>
      </c>
      <c r="H25" s="184">
        <f>ROUND((16/(188.76*$C25))*F25,5)</f>
        <v>0.12540000000000001</v>
      </c>
      <c r="J25" s="164">
        <v>32.92</v>
      </c>
      <c r="K25" s="161">
        <f>ROUND((12/(128.7*$D25))*J25,5)</f>
        <v>1.1900000000000001E-2</v>
      </c>
      <c r="L25" s="185">
        <f>ROUND((16/(188.76*$C25))*J25,5)</f>
        <v>7.3000000000000001E-3</v>
      </c>
      <c r="N25" s="164">
        <v>47</v>
      </c>
      <c r="O25" s="163">
        <f>ROUND((12/(128.7*$D25))*N25,5)</f>
        <v>1.6899999999999998E-2</v>
      </c>
      <c r="P25" s="185">
        <f>ROUND((16/(188.76*$C25))*N25,5)</f>
        <v>1.0500000000000001E-2</v>
      </c>
      <c r="R25" s="164">
        <v>63</v>
      </c>
      <c r="S25" s="163">
        <f>ROUND((12/(128.7*$D25))*R25,5)</f>
        <v>2.2700000000000001E-2</v>
      </c>
      <c r="T25" s="185">
        <f>ROUND((16/(188.76*$C25))*R25,5)</f>
        <v>1.41E-2</v>
      </c>
      <c r="V25" s="168"/>
      <c r="W25" s="163">
        <f>ROUND((12/(128.7*$D25))*V25,5)</f>
        <v>0</v>
      </c>
      <c r="X25" s="185">
        <f>ROUND((16/(188.76*$C25))*V25,5)</f>
        <v>0</v>
      </c>
      <c r="Z25" s="164">
        <v>23.04</v>
      </c>
      <c r="AA25" s="163">
        <f>ROUND((12/(128.7*$D25))*Z25,5)</f>
        <v>8.3000000000000001E-3</v>
      </c>
      <c r="AB25" s="185">
        <f>ROUND((16/(188.76*$C25))*Z25,5)</f>
        <v>5.1000000000000004E-3</v>
      </c>
      <c r="AD25" s="164">
        <v>10.64</v>
      </c>
      <c r="AE25" s="163">
        <f>ROUND((12/(128.7*$D25))*AD25,5)</f>
        <v>3.8E-3</v>
      </c>
      <c r="AF25" s="185">
        <f>ROUND((16/(188.76*$C25))*AD25,5)</f>
        <v>2.3999999999999998E-3</v>
      </c>
      <c r="AH25" s="164">
        <v>178.68</v>
      </c>
      <c r="AI25" s="163">
        <f>ROUND((12/(128.7*$D25))*AH25,5)</f>
        <v>6.4299999999999996E-2</v>
      </c>
      <c r="AJ25" s="185">
        <f>ROUND((16/(188.76*$C25))*AH25,5)</f>
        <v>3.9899999999999998E-2</v>
      </c>
      <c r="AL25" s="164">
        <v>135.12</v>
      </c>
      <c r="AM25" s="163">
        <f>ROUND((12/(128.7*$D25))*AL25,5)</f>
        <v>4.8599999999999997E-2</v>
      </c>
      <c r="AN25" s="185">
        <f>ROUND((16/(188.76*$C25))*AL25,5)</f>
        <v>3.0099999999999998E-2</v>
      </c>
    </row>
    <row r="26" spans="1:40" ht="32" customHeight="1">
      <c r="A26" s="670"/>
      <c r="B26" s="169" t="s">
        <v>339</v>
      </c>
      <c r="C26" s="177">
        <v>380</v>
      </c>
      <c r="D26" s="158">
        <f>ROUND((C26*30)/44,2)</f>
        <v>259.08999999999997</v>
      </c>
      <c r="E26" s="175"/>
      <c r="F26" s="182">
        <v>561.96</v>
      </c>
      <c r="G26" s="161">
        <f>ROUND((12/(128.7*$D26))*F26,5)</f>
        <v>0.20219999999999999</v>
      </c>
      <c r="H26" s="185">
        <f>ROUND((16/(188.76*C26))*F26,5)</f>
        <v>0.12540000000000001</v>
      </c>
      <c r="J26" s="164">
        <v>32.92</v>
      </c>
      <c r="K26" s="161">
        <f>ROUND((12/(128.7*$D26))*J26,5)</f>
        <v>1.1900000000000001E-2</v>
      </c>
      <c r="L26" s="185">
        <f>ROUND((16/(188.76*$C26))*J26,5)</f>
        <v>7.3000000000000001E-3</v>
      </c>
      <c r="N26" s="164">
        <v>142</v>
      </c>
      <c r="O26" s="163">
        <f>ROUND((12/(128.7*$D26))*N26,5)</f>
        <v>5.11E-2</v>
      </c>
      <c r="P26" s="185">
        <f>ROUND((16/(188.76*$C26))*N26,5)</f>
        <v>3.1699999999999999E-2</v>
      </c>
      <c r="R26" s="164">
        <v>63</v>
      </c>
      <c r="S26" s="163">
        <f>ROUND((12/(128.7*$D26))*R26,5)</f>
        <v>2.2700000000000001E-2</v>
      </c>
      <c r="T26" s="185">
        <f>ROUND((16/(188.76*$C26))*R26,5)</f>
        <v>1.41E-2</v>
      </c>
      <c r="V26" s="164">
        <v>55</v>
      </c>
      <c r="W26" s="163">
        <f>ROUND((12/(128.7*$D26))*V26,5)</f>
        <v>1.9800000000000002E-2</v>
      </c>
      <c r="X26" s="185">
        <f>ROUND((16/(188.76*$C26))*V26,5)</f>
        <v>1.23E-2</v>
      </c>
      <c r="Z26" s="164">
        <v>41.43</v>
      </c>
      <c r="AA26" s="163">
        <f>ROUND((12/(128.7*$D26))*Z26,5)</f>
        <v>1.49E-2</v>
      </c>
      <c r="AB26" s="185">
        <f>ROUND((16/(188.76*$C26))*Z26,5)</f>
        <v>9.1999999999999998E-3</v>
      </c>
      <c r="AD26" s="164">
        <v>99.99</v>
      </c>
      <c r="AE26" s="163">
        <f>ROUND((12/(128.7*$D26))*AD26,5)</f>
        <v>3.5999999999999997E-2</v>
      </c>
      <c r="AF26" s="185">
        <f>ROUND((16/(188.76*$C26))*AD26,5)</f>
        <v>2.23E-2</v>
      </c>
      <c r="AH26" s="164">
        <v>533.41999999999996</v>
      </c>
      <c r="AI26" s="163">
        <f>ROUND((12/(128.7*$D26))*AH26,5)</f>
        <v>0.192</v>
      </c>
      <c r="AJ26" s="185">
        <f>ROUND((16/(188.76*$C26))*AH26,5)</f>
        <v>0.11899999999999999</v>
      </c>
      <c r="AL26" s="164">
        <v>135.12</v>
      </c>
      <c r="AM26" s="163">
        <f>ROUND((12/(128.7*$D26))*AL26,5)</f>
        <v>4.8599999999999997E-2</v>
      </c>
      <c r="AN26" s="185">
        <f>ROUND((16/(188.76*$C26))*AL26,5)</f>
        <v>3.0099999999999998E-2</v>
      </c>
    </row>
    <row r="27" spans="1:40">
      <c r="A27" s="670"/>
      <c r="B27" s="666" t="s">
        <v>59</v>
      </c>
      <c r="C27" s="666"/>
      <c r="D27" s="667"/>
      <c r="F27" s="186"/>
      <c r="G27" s="187" t="s">
        <v>59</v>
      </c>
      <c r="H27" s="161">
        <f>SUM(H25:H26,H20:H23,H12:H18)</f>
        <v>7.3929999999999998</v>
      </c>
      <c r="J27" s="188"/>
      <c r="K27" s="187" t="s">
        <v>59</v>
      </c>
      <c r="L27" s="161">
        <f>SUM(L25:L26,L20:L23,L12:L18)</f>
        <v>0.2722</v>
      </c>
      <c r="N27" s="189"/>
      <c r="O27" s="187" t="s">
        <v>59</v>
      </c>
      <c r="P27" s="161">
        <f>SUM(P25:P26,P20:P23,P12:P18)</f>
        <v>0.19800000000000001</v>
      </c>
      <c r="R27" s="186"/>
      <c r="S27" s="187" t="s">
        <v>59</v>
      </c>
      <c r="T27" s="161">
        <f>SUM(T25:T26,T20:T23,T12:T18)</f>
        <v>0.38219999999999998</v>
      </c>
      <c r="V27" s="186"/>
      <c r="W27" s="187" t="s">
        <v>59</v>
      </c>
      <c r="X27" s="161">
        <f>SUM(X25:X26,X20:X23,X12:X18)</f>
        <v>0.62039999999999995</v>
      </c>
      <c r="Z27" s="186"/>
      <c r="AA27" s="187" t="s">
        <v>59</v>
      </c>
      <c r="AB27" s="161">
        <f>SUM(AB25:AB26,AB20:AB23,AB12:AB18)</f>
        <v>0.69210000000000005</v>
      </c>
      <c r="AD27" s="186"/>
      <c r="AE27" s="187" t="s">
        <v>59</v>
      </c>
      <c r="AF27" s="161">
        <f>SUM(AF25:AF26,AF20:AF23,AF12:AF18)</f>
        <v>0.26</v>
      </c>
      <c r="AH27" s="186"/>
      <c r="AI27" s="187" t="s">
        <v>59</v>
      </c>
      <c r="AJ27" s="161">
        <f>SUM(AJ25:AJ26,AJ20:AJ23,AJ12:AJ18)</f>
        <v>2.7519999999999998</v>
      </c>
      <c r="AL27" s="186"/>
      <c r="AM27" s="187" t="s">
        <v>59</v>
      </c>
      <c r="AN27" s="161">
        <f>SUM(AN25:AN26,AN20:AN23,AN12:AN18)</f>
        <v>1.5854999999999999</v>
      </c>
    </row>
    <row r="28" spans="1:40" ht="18.5" customHeight="1">
      <c r="A28" s="671"/>
      <c r="B28" s="668" t="s">
        <v>58</v>
      </c>
      <c r="C28" s="668"/>
      <c r="D28" s="190"/>
      <c r="E28" s="175"/>
      <c r="F28" s="191"/>
      <c r="G28" s="192">
        <f>SUM(G25:G26,G20:G23,G13:G18)</f>
        <v>10.8795</v>
      </c>
      <c r="H28" s="193">
        <f>ROUND(H27,0)</f>
        <v>7</v>
      </c>
      <c r="J28" s="194"/>
      <c r="K28" s="195">
        <f>SUM(K25:K26,K20:K23,K13:K18)</f>
        <v>0.40160000000000001</v>
      </c>
      <c r="L28" s="196">
        <f>ROUND(L27,4)</f>
        <v>0.27</v>
      </c>
      <c r="N28" s="194"/>
      <c r="O28" s="197">
        <f>SUM(O25:O26,O20:O23,O13:O18)</f>
        <v>0.3</v>
      </c>
      <c r="P28" s="198">
        <f>ROUND(P27,4)</f>
        <v>0.19800000000000001</v>
      </c>
      <c r="R28" s="194"/>
      <c r="S28" s="199">
        <f>SUM(S25:S26,S20:S23,S13:S18)</f>
        <v>0.56000000000000005</v>
      </c>
      <c r="T28" s="198">
        <f>ROUND(T27,4)</f>
        <v>0.38219999999999998</v>
      </c>
      <c r="V28" s="194"/>
      <c r="W28" s="199">
        <f>SUM(W25:W26,W20:W23,W13:W18)</f>
        <v>0.91</v>
      </c>
      <c r="X28" s="198">
        <f>ROUND(X27,4)</f>
        <v>0.62039999999999995</v>
      </c>
      <c r="Z28" s="194"/>
      <c r="AA28" s="199">
        <f>SUM(AA25:AA26,AA20:AA23,AA13:AA18)</f>
        <v>1.02</v>
      </c>
      <c r="AB28" s="198">
        <f>ROUND(AB27,4)</f>
        <v>0.69210000000000005</v>
      </c>
      <c r="AD28" s="194"/>
      <c r="AE28" s="199">
        <f>SUM(AE25:AE26,AE20:AE23,AE13:AE18)</f>
        <v>0.39</v>
      </c>
      <c r="AF28" s="198">
        <f>ROUND(AF27,4)</f>
        <v>0.26</v>
      </c>
      <c r="AH28" s="194"/>
      <c r="AI28" s="199">
        <f>SUM(AI25:AI26,AI20:AI23,AI13:AI18)</f>
        <v>3.92</v>
      </c>
      <c r="AJ28" s="198">
        <f>ROUND(AJ27,4)</f>
        <v>2.7519999999999998</v>
      </c>
      <c r="AL28" s="194"/>
      <c r="AM28" s="199">
        <f>SUM(AM25:AM26,AM20:AM23,AM13:AM18)</f>
        <v>2.33</v>
      </c>
      <c r="AN28" s="198">
        <f>ROUND(AN27,4)</f>
        <v>1.5854999999999999</v>
      </c>
    </row>
    <row r="29" spans="1:40">
      <c r="A29" s="133"/>
      <c r="B29" s="93"/>
      <c r="C29" s="175"/>
      <c r="D29" s="175"/>
      <c r="E29" s="175"/>
      <c r="F29" s="200"/>
      <c r="G29" s="175"/>
      <c r="H29" s="200"/>
      <c r="J29" s="200"/>
      <c r="K29" s="175"/>
      <c r="L29" s="200"/>
      <c r="N29" s="200"/>
      <c r="O29" s="175"/>
      <c r="P29" s="200"/>
      <c r="R29" s="200"/>
      <c r="S29" s="175"/>
      <c r="T29" s="200"/>
      <c r="V29" s="200"/>
      <c r="W29" s="175"/>
      <c r="X29" s="200"/>
      <c r="Z29" s="200"/>
      <c r="AA29" s="175"/>
      <c r="AB29" s="200"/>
      <c r="AD29" s="200"/>
      <c r="AE29" s="175"/>
      <c r="AF29" s="200"/>
      <c r="AH29" s="200"/>
      <c r="AI29" s="175"/>
      <c r="AJ29" s="200"/>
      <c r="AL29" s="200"/>
      <c r="AM29" s="175"/>
      <c r="AN29" s="200"/>
    </row>
  </sheetData>
  <mergeCells count="24">
    <mergeCell ref="AH8:AJ8"/>
    <mergeCell ref="AL8:AN8"/>
    <mergeCell ref="V8:X8"/>
    <mergeCell ref="Z8:AB8"/>
    <mergeCell ref="AD8:AF8"/>
    <mergeCell ref="B27:D27"/>
    <mergeCell ref="B28:C28"/>
    <mergeCell ref="A9:A28"/>
    <mergeCell ref="B9:B10"/>
    <mergeCell ref="C9:C10"/>
    <mergeCell ref="D9:D10"/>
    <mergeCell ref="B11:D11"/>
    <mergeCell ref="B19:C19"/>
    <mergeCell ref="B24:D24"/>
    <mergeCell ref="A4:K4"/>
    <mergeCell ref="A1:AN1"/>
    <mergeCell ref="A2:AN2"/>
    <mergeCell ref="L4:AN4"/>
    <mergeCell ref="A6:AN6"/>
    <mergeCell ref="C8:D8"/>
    <mergeCell ref="F8:H8"/>
    <mergeCell ref="J8:L8"/>
    <mergeCell ref="N8:P8"/>
    <mergeCell ref="R8:T8"/>
  </mergeCells>
  <pageMargins left="0.9055118110236221" right="0.51181102362204722" top="0.78740157480314965" bottom="0.78740157480314965" header="0.31496062992125984" footer="0.31496062992125984"/>
  <pageSetup paperSize="9" scale="2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 Basal Comparada</vt:lpstr>
      <vt:lpstr>Área - Produt - Servente</vt:lpstr>
      <vt:lpstr>Servente COM Adicional</vt:lpstr>
      <vt:lpstr>Servente SEM Adicional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Leslie Soares Pereira</cp:lastModifiedBy>
  <cp:lastPrinted>2025-09-10T14:39:28Z</cp:lastPrinted>
  <dcterms:created xsi:type="dcterms:W3CDTF">2024-10-01T13:40:53Z</dcterms:created>
  <dcterms:modified xsi:type="dcterms:W3CDTF">2025-09-11T17:42:02Z</dcterms:modified>
</cp:coreProperties>
</file>